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lomar0-my.sharepoint.com/personal/nlane_palomar_edu/Documents/Documents/Reporting/"/>
    </mc:Choice>
  </mc:AlternateContent>
  <xr:revisionPtr revIDLastSave="40" documentId="8_{C2CC764C-B41E-4CED-AF18-1E068924F49B}" xr6:coauthVersionLast="47" xr6:coauthVersionMax="47" xr10:uidLastSave="{7C69726C-7A54-4B5E-96A2-9FCD7B4A78BB}"/>
  <workbookProtection workbookAlgorithmName="SHA-512" workbookHashValue="tLVeDmo6EPAI75BrgFD0Q34lR01WdeNiIgyPPNLV7DwOTCRIpt1ptdZig4SXH9IVxb7PalOIrVYLw1uR8DYiFA==" workbookSaltValue="oIOwcRaJ0tDpwef165/GEA==" workbookSpinCount="100000" lockStructure="1"/>
  <bookViews>
    <workbookView xWindow="7680" yWindow="1908" windowWidth="30960" windowHeight="12204" activeTab="1" xr2:uid="{5A964DCA-A98F-421F-B2AD-D7AF4407EB95}"/>
  </bookViews>
  <sheets>
    <sheet name="MYP" sheetId="1" r:id="rId1"/>
    <sheet name="Dashboard" sheetId="3" r:id="rId2"/>
    <sheet name="Purpose" sheetId="4" r:id="rId3"/>
  </sheets>
  <externalReferences>
    <externalReference r:id="rId4"/>
    <externalReference r:id="rId5"/>
  </externalReferences>
  <definedNames>
    <definedName name="_xlnm.Print_Area" localSheetId="1">Table1[#All]</definedName>
    <definedName name="_xlnm.Print_Area" localSheetId="0">MYP!$C$2:$S$103</definedName>
    <definedName name="_xlnm.Print_Titles" localSheetId="0">MYP!$2:$8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E15" i="3"/>
  <c r="G101" i="1" l="1"/>
  <c r="H101" i="1"/>
  <c r="G102" i="1"/>
  <c r="H102" i="1"/>
  <c r="G103" i="1"/>
  <c r="H103" i="1"/>
  <c r="C5" i="3"/>
  <c r="D5" i="3"/>
  <c r="C7" i="3"/>
  <c r="D7" i="3"/>
  <c r="C9" i="3"/>
  <c r="D9" i="3"/>
  <c r="C11" i="3"/>
  <c r="D11" i="3"/>
  <c r="C21" i="3"/>
  <c r="D21" i="3"/>
  <c r="C23" i="3"/>
  <c r="D23" i="3"/>
  <c r="C25" i="3"/>
  <c r="D25" i="3"/>
  <c r="C27" i="3"/>
  <c r="D27" i="3"/>
  <c r="C29" i="3"/>
  <c r="D29" i="3"/>
  <c r="G5" i="3" l="1"/>
  <c r="G7" i="3"/>
  <c r="G9" i="3"/>
  <c r="G11" i="3"/>
  <c r="G15" i="3"/>
  <c r="G21" i="3"/>
  <c r="G23" i="3"/>
  <c r="G25" i="3"/>
  <c r="G27" i="3"/>
  <c r="G29" i="3"/>
  <c r="E27" i="3"/>
  <c r="F29" i="3"/>
  <c r="F25" i="3"/>
  <c r="F23" i="3"/>
  <c r="F21" i="3"/>
  <c r="F27" i="3"/>
  <c r="E29" i="3"/>
  <c r="E25" i="3"/>
  <c r="E23" i="3"/>
  <c r="E21" i="3"/>
  <c r="E11" i="3"/>
  <c r="E9" i="3"/>
  <c r="E7" i="3"/>
  <c r="E5" i="3"/>
  <c r="K15" i="3"/>
  <c r="P13" i="3"/>
  <c r="K9" i="3"/>
  <c r="N7" i="3"/>
  <c r="N87" i="1"/>
  <c r="S87" i="1" s="1"/>
  <c r="M71" i="1"/>
  <c r="S71" i="1" s="1"/>
  <c r="M69" i="1"/>
  <c r="M64" i="1"/>
  <c r="M90" i="1"/>
  <c r="S90" i="1" s="1"/>
  <c r="M65" i="1"/>
  <c r="N23" i="1"/>
  <c r="N32" i="1"/>
  <c r="S64" i="1"/>
  <c r="S76" i="1"/>
  <c r="S75" i="1"/>
  <c r="S74" i="1"/>
  <c r="S89" i="1"/>
  <c r="S88" i="1"/>
  <c r="S86" i="1"/>
  <c r="S82" i="1"/>
  <c r="S81" i="1"/>
  <c r="S80" i="1"/>
  <c r="S79" i="1"/>
  <c r="S78" i="1"/>
  <c r="S77" i="1"/>
  <c r="S72" i="1"/>
  <c r="S70" i="1"/>
  <c r="S69" i="1"/>
  <c r="S67" i="1"/>
  <c r="S66" i="1"/>
  <c r="S65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M166" i="1" l="1"/>
  <c r="V88" i="1"/>
  <c r="M202" i="1"/>
  <c r="N200" i="1"/>
  <c r="N202" i="1" s="1"/>
  <c r="M200" i="1"/>
  <c r="N195" i="1"/>
  <c r="M195" i="1"/>
  <c r="N182" i="1"/>
  <c r="N184" i="1" s="1"/>
  <c r="M182" i="1"/>
  <c r="M184" i="1" s="1"/>
  <c r="N175" i="1"/>
  <c r="N188" i="1" s="1"/>
  <c r="N192" i="1" s="1"/>
  <c r="N197" i="1" s="1"/>
  <c r="M175" i="1"/>
  <c r="M188" i="1" s="1"/>
  <c r="M192" i="1" s="1"/>
  <c r="M197" i="1" s="1"/>
  <c r="N172" i="1"/>
  <c r="M172" i="1"/>
  <c r="N171" i="1"/>
  <c r="N173" i="1" s="1"/>
  <c r="M171" i="1"/>
  <c r="M173" i="1" s="1"/>
  <c r="N168" i="1"/>
  <c r="M168" i="1"/>
  <c r="N167" i="1"/>
  <c r="N166" i="1"/>
  <c r="N169" i="1" s="1"/>
  <c r="N91" i="1"/>
  <c r="M83" i="1"/>
  <c r="N73" i="1"/>
  <c r="M73" i="1"/>
  <c r="N68" i="1"/>
  <c r="M68" i="1"/>
  <c r="N57" i="1"/>
  <c r="M57" i="1"/>
  <c r="M53" i="1"/>
  <c r="N53" i="1"/>
  <c r="N29" i="1"/>
  <c r="S29" i="1" s="1"/>
  <c r="M29" i="1"/>
  <c r="M15" i="1"/>
  <c r="N15" i="1"/>
  <c r="S73" i="1" l="1"/>
  <c r="S68" i="1"/>
  <c r="S53" i="1"/>
  <c r="M91" i="1"/>
  <c r="S91" i="1" s="1"/>
  <c r="M84" i="1"/>
  <c r="M167" i="1"/>
  <c r="M169" i="1" s="1"/>
  <c r="N83" i="1"/>
  <c r="N177" i="1"/>
  <c r="N179" i="1" s="1"/>
  <c r="M2" i="1"/>
  <c r="M19" i="1"/>
  <c r="M55" i="1" s="1"/>
  <c r="N19" i="1"/>
  <c r="N2" i="1"/>
  <c r="M177" i="1"/>
  <c r="S19" i="1" l="1"/>
  <c r="N55" i="1"/>
  <c r="S55" i="1" s="1"/>
  <c r="N84" i="1"/>
  <c r="N93" i="1" s="1"/>
  <c r="S83" i="1"/>
  <c r="M93" i="1"/>
  <c r="M101" i="1" s="1"/>
  <c r="M103" i="1"/>
  <c r="M179" i="1"/>
  <c r="M102" i="1"/>
  <c r="N95" i="1" l="1"/>
  <c r="N102" i="1"/>
  <c r="S84" i="1"/>
  <c r="N103" i="1"/>
  <c r="N101" i="1"/>
  <c r="S93" i="1"/>
  <c r="M95" i="1"/>
  <c r="K200" i="1"/>
  <c r="K202" i="1" s="1"/>
  <c r="J200" i="1"/>
  <c r="J202" i="1" s="1"/>
  <c r="L200" i="1" s="1"/>
  <c r="L202" i="1" s="1"/>
  <c r="O200" i="1" s="1"/>
  <c r="O202" i="1" s="1"/>
  <c r="P200" i="1" s="1"/>
  <c r="P202" i="1" s="1"/>
  <c r="Q200" i="1" s="1"/>
  <c r="Q202" i="1" s="1"/>
  <c r="R200" i="1" s="1"/>
  <c r="R202" i="1" s="1"/>
  <c r="K195" i="1"/>
  <c r="J195" i="1"/>
  <c r="L194" i="1"/>
  <c r="L195" i="1" s="1"/>
  <c r="L191" i="1"/>
  <c r="O191" i="1" s="1"/>
  <c r="P191" i="1" s="1"/>
  <c r="Q191" i="1" s="1"/>
  <c r="R191" i="1" s="1"/>
  <c r="L190" i="1"/>
  <c r="O190" i="1" s="1"/>
  <c r="P190" i="1" s="1"/>
  <c r="Q190" i="1" s="1"/>
  <c r="R190" i="1" s="1"/>
  <c r="K182" i="1"/>
  <c r="J182" i="1"/>
  <c r="J184" i="1" s="1"/>
  <c r="L182" i="1" s="1"/>
  <c r="K177" i="1"/>
  <c r="K175" i="1"/>
  <c r="K188" i="1" s="1"/>
  <c r="K192" i="1" s="1"/>
  <c r="K197" i="1" s="1"/>
  <c r="J175" i="1"/>
  <c r="I173" i="1"/>
  <c r="I177" i="1" s="1"/>
  <c r="I179" i="1" s="1"/>
  <c r="K172" i="1"/>
  <c r="J172" i="1"/>
  <c r="L172" i="1" s="1"/>
  <c r="O172" i="1" s="1"/>
  <c r="P172" i="1" s="1"/>
  <c r="Q172" i="1" s="1"/>
  <c r="R172" i="1" s="1"/>
  <c r="K171" i="1"/>
  <c r="K173" i="1" s="1"/>
  <c r="J171" i="1"/>
  <c r="L171" i="1" s="1"/>
  <c r="I169" i="1"/>
  <c r="K168" i="1"/>
  <c r="J168" i="1"/>
  <c r="L168" i="1" s="1"/>
  <c r="O168" i="1" s="1"/>
  <c r="P168" i="1" s="1"/>
  <c r="Q168" i="1" s="1"/>
  <c r="R168" i="1" s="1"/>
  <c r="R166" i="1"/>
  <c r="Q166" i="1"/>
  <c r="P166" i="1"/>
  <c r="O166" i="1"/>
  <c r="L166" i="1"/>
  <c r="K166" i="1"/>
  <c r="J166" i="1"/>
  <c r="D97" i="1"/>
  <c r="L91" i="1"/>
  <c r="K91" i="1"/>
  <c r="J91" i="1"/>
  <c r="I91" i="1"/>
  <c r="H91" i="1"/>
  <c r="G91" i="1"/>
  <c r="F91" i="1"/>
  <c r="E91" i="1"/>
  <c r="D91" i="1"/>
  <c r="T90" i="1"/>
  <c r="T89" i="1"/>
  <c r="O89" i="1"/>
  <c r="P89" i="1" s="1"/>
  <c r="P91" i="1" s="1"/>
  <c r="T88" i="1"/>
  <c r="T87" i="1"/>
  <c r="T86" i="1"/>
  <c r="I83" i="1"/>
  <c r="H83" i="1"/>
  <c r="G83" i="1"/>
  <c r="F83" i="1"/>
  <c r="E83" i="1"/>
  <c r="D83" i="1"/>
  <c r="T81" i="1"/>
  <c r="O81" i="1"/>
  <c r="P81" i="1" s="1"/>
  <c r="Q81" i="1" s="1"/>
  <c r="R81" i="1" s="1"/>
  <c r="K81" i="1"/>
  <c r="T80" i="1"/>
  <c r="O80" i="1"/>
  <c r="P80" i="1" s="1"/>
  <c r="Q80" i="1" s="1"/>
  <c r="R80" i="1" s="1"/>
  <c r="K80" i="1"/>
  <c r="T79" i="1"/>
  <c r="O79" i="1"/>
  <c r="P79" i="1" s="1"/>
  <c r="Q79" i="1" s="1"/>
  <c r="R79" i="1" s="1"/>
  <c r="K79" i="1"/>
  <c r="R78" i="1"/>
  <c r="Q78" i="1"/>
  <c r="P78" i="1"/>
  <c r="O78" i="1"/>
  <c r="L78" i="1"/>
  <c r="J78" i="1"/>
  <c r="J83" i="1" s="1"/>
  <c r="T77" i="1"/>
  <c r="O77" i="1"/>
  <c r="P77" i="1" s="1"/>
  <c r="Q77" i="1" s="1"/>
  <c r="R77" i="1" s="1"/>
  <c r="T76" i="1"/>
  <c r="O76" i="1"/>
  <c r="P76" i="1" s="1"/>
  <c r="Q76" i="1" s="1"/>
  <c r="R76" i="1" s="1"/>
  <c r="T75" i="1"/>
  <c r="O75" i="1"/>
  <c r="P75" i="1" s="1"/>
  <c r="Q75" i="1" s="1"/>
  <c r="R75" i="1" s="1"/>
  <c r="T74" i="1"/>
  <c r="O74" i="1"/>
  <c r="P74" i="1" s="1"/>
  <c r="L73" i="1"/>
  <c r="K73" i="1"/>
  <c r="J73" i="1"/>
  <c r="I73" i="1"/>
  <c r="H73" i="1"/>
  <c r="G73" i="1"/>
  <c r="F73" i="1"/>
  <c r="E73" i="1"/>
  <c r="D73" i="1"/>
  <c r="V72" i="1"/>
  <c r="U72" i="1"/>
  <c r="T72" i="1"/>
  <c r="O72" i="1"/>
  <c r="P72" i="1" s="1"/>
  <c r="Q72" i="1" s="1"/>
  <c r="R72" i="1" s="1"/>
  <c r="T71" i="1"/>
  <c r="P71" i="1"/>
  <c r="Q71" i="1" s="1"/>
  <c r="R71" i="1" s="1"/>
  <c r="T70" i="1"/>
  <c r="O70" i="1"/>
  <c r="P70" i="1" s="1"/>
  <c r="Q70" i="1" s="1"/>
  <c r="R70" i="1" s="1"/>
  <c r="T69" i="1"/>
  <c r="O69" i="1"/>
  <c r="L68" i="1"/>
  <c r="K68" i="1"/>
  <c r="J68" i="1"/>
  <c r="I68" i="1"/>
  <c r="H68" i="1"/>
  <c r="G68" i="1"/>
  <c r="F68" i="1"/>
  <c r="E68" i="1"/>
  <c r="D68" i="1"/>
  <c r="V67" i="1"/>
  <c r="U67" i="1"/>
  <c r="T67" i="1"/>
  <c r="Q67" i="1"/>
  <c r="R67" i="1" s="1"/>
  <c r="T66" i="1"/>
  <c r="O66" i="1"/>
  <c r="P66" i="1" s="1"/>
  <c r="Q66" i="1" s="1"/>
  <c r="R66" i="1" s="1"/>
  <c r="T65" i="1"/>
  <c r="O65" i="1"/>
  <c r="P65" i="1" s="1"/>
  <c r="T64" i="1"/>
  <c r="O64" i="1"/>
  <c r="P64" i="1" s="1"/>
  <c r="R64" i="1" s="1"/>
  <c r="O60" i="1"/>
  <c r="L59" i="1"/>
  <c r="L58" i="1" s="1"/>
  <c r="K57" i="1"/>
  <c r="J57" i="1"/>
  <c r="F53" i="1"/>
  <c r="E53" i="1"/>
  <c r="D53" i="1"/>
  <c r="R52" i="1"/>
  <c r="R53" i="1" s="1"/>
  <c r="Q52" i="1"/>
  <c r="Q53" i="1" s="1"/>
  <c r="P52" i="1"/>
  <c r="P53" i="1" s="1"/>
  <c r="O52" i="1"/>
  <c r="O53" i="1" s="1"/>
  <c r="L52" i="1"/>
  <c r="L53" i="1" s="1"/>
  <c r="I49" i="1"/>
  <c r="J33" i="1"/>
  <c r="J53" i="1" s="1"/>
  <c r="G33" i="1"/>
  <c r="G53" i="1" s="1"/>
  <c r="K32" i="1"/>
  <c r="K53" i="1" s="1"/>
  <c r="I32" i="1"/>
  <c r="I53" i="1" s="1"/>
  <c r="H32" i="1"/>
  <c r="H53" i="1" s="1"/>
  <c r="O31" i="1"/>
  <c r="K29" i="1"/>
  <c r="H29" i="1"/>
  <c r="G29" i="1"/>
  <c r="F29" i="1"/>
  <c r="E29" i="1"/>
  <c r="D29" i="1"/>
  <c r="J28" i="1"/>
  <c r="O27" i="1"/>
  <c r="P27" i="1" s="1"/>
  <c r="Q27" i="1" s="1"/>
  <c r="R27" i="1" s="1"/>
  <c r="O26" i="1"/>
  <c r="P26" i="1" s="1"/>
  <c r="Q26" i="1" s="1"/>
  <c r="R26" i="1" s="1"/>
  <c r="J26" i="1"/>
  <c r="I26" i="1"/>
  <c r="L25" i="1"/>
  <c r="J25" i="1"/>
  <c r="I25" i="1"/>
  <c r="L24" i="1"/>
  <c r="O24" i="1" s="1"/>
  <c r="P24" i="1" s="1"/>
  <c r="Q24" i="1" s="1"/>
  <c r="R24" i="1" s="1"/>
  <c r="I24" i="1"/>
  <c r="L23" i="1"/>
  <c r="O23" i="1" s="1"/>
  <c r="P23" i="1" s="1"/>
  <c r="Q23" i="1" s="1"/>
  <c r="R23" i="1" s="1"/>
  <c r="J23" i="1"/>
  <c r="O22" i="1"/>
  <c r="P22" i="1" s="1"/>
  <c r="I15" i="1"/>
  <c r="I19" i="1" s="1"/>
  <c r="G15" i="1"/>
  <c r="G19" i="1" s="1"/>
  <c r="F15" i="1"/>
  <c r="F19" i="1" s="1"/>
  <c r="E15" i="1"/>
  <c r="E19" i="1" s="1"/>
  <c r="D15" i="1"/>
  <c r="D19" i="1" s="1"/>
  <c r="P14" i="1"/>
  <c r="Q14" i="1" s="1"/>
  <c r="R14" i="1" s="1"/>
  <c r="P13" i="1"/>
  <c r="Q13" i="1" s="1"/>
  <c r="R13" i="1" s="1"/>
  <c r="O13" i="1"/>
  <c r="V13" i="1" s="1"/>
  <c r="O12" i="1"/>
  <c r="V12" i="1" s="1"/>
  <c r="J12" i="1"/>
  <c r="J15" i="1" s="1"/>
  <c r="H12" i="1"/>
  <c r="H15" i="1" s="1"/>
  <c r="H19" i="1" s="1"/>
  <c r="P11" i="1"/>
  <c r="Q11" i="1" s="1"/>
  <c r="R11" i="1" s="1"/>
  <c r="O11" i="1"/>
  <c r="V11" i="1" s="1"/>
  <c r="O10" i="1"/>
  <c r="V10" i="1" s="1"/>
  <c r="K10" i="1"/>
  <c r="P10" i="1" s="1"/>
  <c r="O6" i="1"/>
  <c r="P6" i="1" s="1"/>
  <c r="O5" i="1"/>
  <c r="L4" i="1"/>
  <c r="L3" i="1" s="1"/>
  <c r="T91" i="1" l="1"/>
  <c r="O91" i="1"/>
  <c r="G84" i="1"/>
  <c r="G93" i="1" s="1"/>
  <c r="E84" i="1"/>
  <c r="E93" i="1" s="1"/>
  <c r="H84" i="1"/>
  <c r="H93" i="1" s="1"/>
  <c r="T53" i="1"/>
  <c r="D55" i="1"/>
  <c r="K83" i="1"/>
  <c r="K84" i="1" s="1"/>
  <c r="T78" i="1"/>
  <c r="J29" i="1"/>
  <c r="E55" i="1"/>
  <c r="I29" i="1"/>
  <c r="I55" i="1" s="1"/>
  <c r="D84" i="1"/>
  <c r="D93" i="1" s="1"/>
  <c r="R65" i="1"/>
  <c r="R68" i="1" s="1"/>
  <c r="Q65" i="1"/>
  <c r="K15" i="1"/>
  <c r="K19" i="1" s="1"/>
  <c r="K55" i="1" s="1"/>
  <c r="F84" i="1"/>
  <c r="F93" i="1" s="1"/>
  <c r="U82" i="1"/>
  <c r="O194" i="1"/>
  <c r="O195" i="1" s="1"/>
  <c r="O73" i="1"/>
  <c r="L29" i="1"/>
  <c r="T25" i="1" s="1"/>
  <c r="V82" i="1"/>
  <c r="F55" i="1"/>
  <c r="L61" i="1"/>
  <c r="O59" i="1"/>
  <c r="O58" i="1" s="1"/>
  <c r="J19" i="1"/>
  <c r="J2" i="1"/>
  <c r="H55" i="1"/>
  <c r="L167" i="1"/>
  <c r="L169" i="1" s="1"/>
  <c r="L184" i="1"/>
  <c r="O182" i="1" s="1"/>
  <c r="Q64" i="1"/>
  <c r="L83" i="1"/>
  <c r="L84" i="1" s="1"/>
  <c r="Q89" i="1"/>
  <c r="O4" i="1"/>
  <c r="O3" i="1" s="1"/>
  <c r="Q10" i="1"/>
  <c r="G55" i="1"/>
  <c r="G95" i="1" s="1"/>
  <c r="P29" i="1"/>
  <c r="Q22" i="1"/>
  <c r="O83" i="1"/>
  <c r="O171" i="1"/>
  <c r="L173" i="1"/>
  <c r="J173" i="1"/>
  <c r="K167" i="1"/>
  <c r="K184" i="1"/>
  <c r="Q74" i="1"/>
  <c r="P83" i="1"/>
  <c r="J188" i="1"/>
  <c r="J192" i="1" s="1"/>
  <c r="J197" i="1" s="1"/>
  <c r="L175" i="1"/>
  <c r="P69" i="1"/>
  <c r="L7" i="1"/>
  <c r="I84" i="1"/>
  <c r="P68" i="1"/>
  <c r="O68" i="1"/>
  <c r="J84" i="1"/>
  <c r="K169" i="1"/>
  <c r="K179" i="1" s="1"/>
  <c r="J177" i="1"/>
  <c r="O29" i="1"/>
  <c r="J167" i="1"/>
  <c r="J169" i="1" s="1"/>
  <c r="K93" i="1" l="1"/>
  <c r="K11" i="3"/>
  <c r="H95" i="1"/>
  <c r="E95" i="1"/>
  <c r="D95" i="1"/>
  <c r="D98" i="1" s="1"/>
  <c r="D100" i="1" s="1"/>
  <c r="T29" i="1"/>
  <c r="Q68" i="1"/>
  <c r="F95" i="1"/>
  <c r="K2" i="1"/>
  <c r="J179" i="1"/>
  <c r="K102" i="1"/>
  <c r="K103" i="1"/>
  <c r="K101" i="1"/>
  <c r="F11" i="3" s="1"/>
  <c r="K95" i="1"/>
  <c r="P194" i="1"/>
  <c r="P195" i="1" s="1"/>
  <c r="P59" i="1"/>
  <c r="P58" i="1" s="1"/>
  <c r="O61" i="1"/>
  <c r="P4" i="1"/>
  <c r="P3" i="1" s="1"/>
  <c r="O7" i="1"/>
  <c r="O173" i="1"/>
  <c r="P171" i="1"/>
  <c r="R89" i="1"/>
  <c r="R91" i="1" s="1"/>
  <c r="Q91" i="1"/>
  <c r="L93" i="1"/>
  <c r="V93" i="1" s="1"/>
  <c r="T84" i="1"/>
  <c r="L103" i="1"/>
  <c r="J55" i="1"/>
  <c r="L14" i="1"/>
  <c r="P73" i="1"/>
  <c r="P84" i="1" s="1"/>
  <c r="Q69" i="1"/>
  <c r="Q29" i="1"/>
  <c r="R22" i="1"/>
  <c r="R29" i="1" s="1"/>
  <c r="I102" i="1"/>
  <c r="I93" i="1"/>
  <c r="I101" i="1" s="1"/>
  <c r="I103" i="1"/>
  <c r="Q83" i="1"/>
  <c r="R74" i="1"/>
  <c r="R83" i="1" s="1"/>
  <c r="O84" i="1"/>
  <c r="O175" i="1"/>
  <c r="L177" i="1"/>
  <c r="L179" i="1" s="1"/>
  <c r="L188" i="1"/>
  <c r="L192" i="1" s="1"/>
  <c r="L197" i="1" s="1"/>
  <c r="O167" i="1"/>
  <c r="O169" i="1" s="1"/>
  <c r="O184" i="1"/>
  <c r="P182" i="1" s="1"/>
  <c r="J93" i="1"/>
  <c r="J101" i="1" s="1"/>
  <c r="J103" i="1"/>
  <c r="R10" i="1"/>
  <c r="T95" i="1" l="1"/>
  <c r="F7" i="3"/>
  <c r="K7" i="3"/>
  <c r="P7" i="3" s="1"/>
  <c r="F9" i="3"/>
  <c r="P11" i="3"/>
  <c r="F15" i="3"/>
  <c r="N15" i="3"/>
  <c r="P15" i="3" s="1"/>
  <c r="N9" i="3"/>
  <c r="P9" i="3" s="1"/>
  <c r="N11" i="3"/>
  <c r="N5" i="3"/>
  <c r="E97" i="1"/>
  <c r="E98" i="1" s="1"/>
  <c r="E100" i="1" s="1"/>
  <c r="J95" i="1"/>
  <c r="Q194" i="1"/>
  <c r="I95" i="1"/>
  <c r="P93" i="1"/>
  <c r="P101" i="1" s="1"/>
  <c r="P103" i="1"/>
  <c r="Q58" i="1"/>
  <c r="Q59" i="1"/>
  <c r="Q4" i="1"/>
  <c r="Q3" i="1"/>
  <c r="P12" i="1"/>
  <c r="T93" i="1"/>
  <c r="O14" i="1"/>
  <c r="L15" i="1"/>
  <c r="L19" i="1" s="1"/>
  <c r="R69" i="1"/>
  <c r="R73" i="1" s="1"/>
  <c r="R84" i="1" s="1"/>
  <c r="Q73" i="1"/>
  <c r="Q84" i="1" s="1"/>
  <c r="O93" i="1"/>
  <c r="O101" i="1" s="1"/>
  <c r="O103" i="1"/>
  <c r="P173" i="1"/>
  <c r="Q171" i="1"/>
  <c r="P175" i="1"/>
  <c r="O177" i="1"/>
  <c r="O179" i="1" s="1"/>
  <c r="O188" i="1"/>
  <c r="O192" i="1" s="1"/>
  <c r="O197" i="1" s="1"/>
  <c r="J102" i="1"/>
  <c r="L101" i="1"/>
  <c r="Q195" i="1"/>
  <c r="R194" i="1"/>
  <c r="R195" i="1" s="1"/>
  <c r="P184" i="1"/>
  <c r="Q182" i="1" s="1"/>
  <c r="P167" i="1"/>
  <c r="P169" i="1" s="1"/>
  <c r="F97" i="1" l="1"/>
  <c r="F98" i="1" s="1"/>
  <c r="R4" i="1"/>
  <c r="R3" i="1"/>
  <c r="Q103" i="1"/>
  <c r="Q93" i="1"/>
  <c r="Q101" i="1" s="1"/>
  <c r="Q175" i="1"/>
  <c r="P177" i="1"/>
  <c r="P179" i="1" s="1"/>
  <c r="P188" i="1"/>
  <c r="P192" i="1" s="1"/>
  <c r="P197" i="1" s="1"/>
  <c r="Q173" i="1"/>
  <c r="R171" i="1"/>
  <c r="R173" i="1" s="1"/>
  <c r="R103" i="1"/>
  <c r="R93" i="1"/>
  <c r="R101" i="1" s="1"/>
  <c r="R59" i="1"/>
  <c r="R58" i="1"/>
  <c r="V14" i="1"/>
  <c r="O15" i="1"/>
  <c r="O19" i="1" s="1"/>
  <c r="O55" i="1" s="1"/>
  <c r="L55" i="1"/>
  <c r="T19" i="1"/>
  <c r="Q184" i="1"/>
  <c r="R182" i="1" s="1"/>
  <c r="Q167" i="1"/>
  <c r="Q169" i="1" s="1"/>
  <c r="Q12" i="1"/>
  <c r="P15" i="1"/>
  <c r="P19" i="1" s="1"/>
  <c r="P55" i="1" s="1"/>
  <c r="F100" i="1" l="1"/>
  <c r="G97" i="1"/>
  <c r="G98" i="1" s="1"/>
  <c r="R184" i="1"/>
  <c r="R167" i="1"/>
  <c r="R169" i="1" s="1"/>
  <c r="T55" i="1"/>
  <c r="L95" i="1"/>
  <c r="L102" i="1"/>
  <c r="Q177" i="1"/>
  <c r="Q179" i="1" s="1"/>
  <c r="Q188" i="1"/>
  <c r="Q192" i="1" s="1"/>
  <c r="Q197" i="1" s="1"/>
  <c r="R175" i="1"/>
  <c r="P95" i="1"/>
  <c r="P102" i="1"/>
  <c r="R12" i="1"/>
  <c r="R15" i="1" s="1"/>
  <c r="R19" i="1" s="1"/>
  <c r="R55" i="1" s="1"/>
  <c r="Q15" i="1"/>
  <c r="Q19" i="1" s="1"/>
  <c r="Q55" i="1" s="1"/>
  <c r="O95" i="1"/>
  <c r="O102" i="1"/>
  <c r="G100" i="1" l="1"/>
  <c r="H97" i="1"/>
  <c r="H98" i="1" s="1"/>
  <c r="R188" i="1"/>
  <c r="R192" i="1" s="1"/>
  <c r="R197" i="1" s="1"/>
  <c r="R177" i="1"/>
  <c r="R179" i="1" s="1"/>
  <c r="Q95" i="1"/>
  <c r="Q102" i="1"/>
  <c r="R95" i="1"/>
  <c r="R102" i="1"/>
  <c r="H100" i="1" l="1"/>
  <c r="I97" i="1"/>
  <c r="I98" i="1" s="1"/>
  <c r="J97" i="1" l="1"/>
  <c r="I100" i="1"/>
  <c r="K97" i="1" l="1"/>
  <c r="K98" i="1" s="1"/>
  <c r="J98" i="1"/>
  <c r="F5" i="3" l="1"/>
  <c r="K5" i="3"/>
  <c r="P5" i="3" s="1"/>
  <c r="J100" i="1"/>
  <c r="J106" i="1"/>
  <c r="J107" i="1" s="1"/>
  <c r="K100" i="1"/>
  <c r="K106" i="1"/>
  <c r="K107" i="1" s="1"/>
  <c r="L97" i="1"/>
  <c r="L98" i="1" s="1"/>
  <c r="M97" i="1" l="1"/>
  <c r="L106" i="1"/>
  <c r="L107" i="1" s="1"/>
  <c r="O97" i="1"/>
  <c r="O98" i="1" s="1"/>
  <c r="L100" i="1"/>
  <c r="O100" i="1" l="1"/>
  <c r="P97" i="1"/>
  <c r="P98" i="1" s="1"/>
  <c r="O106" i="1"/>
  <c r="O107" i="1" s="1"/>
  <c r="X97" i="1"/>
  <c r="N97" i="1"/>
  <c r="N98" i="1" s="1"/>
  <c r="M98" i="1"/>
  <c r="M100" i="1" l="1"/>
  <c r="M106" i="1"/>
  <c r="M107" i="1" s="1"/>
  <c r="N106" i="1"/>
  <c r="N107" i="1" s="1"/>
  <c r="N100" i="1"/>
  <c r="P100" i="1"/>
  <c r="P106" i="1"/>
  <c r="P107" i="1" s="1"/>
  <c r="Q97" i="1"/>
  <c r="Q98" i="1" s="1"/>
  <c r="R97" i="1" l="1"/>
  <c r="R98" i="1" s="1"/>
  <c r="Q106" i="1"/>
  <c r="Q107" i="1" s="1"/>
  <c r="Q100" i="1"/>
  <c r="R100" i="1" l="1"/>
  <c r="R106" i="1"/>
  <c r="R107" i="1" s="1"/>
</calcChain>
</file>

<file path=xl/sharedStrings.xml><?xml version="1.0" encoding="utf-8"?>
<sst xmlns="http://schemas.openxmlformats.org/spreadsheetml/2006/main" count="285" uniqueCount="229">
  <si>
    <t>MULTIYEAR PROJECTIONS</t>
  </si>
  <si>
    <t>v</t>
  </si>
  <si>
    <t>Minimum Revenue - Hold Harmless</t>
  </si>
  <si>
    <t>FY 24 - FY 27 Basic Aid Potential</t>
  </si>
  <si>
    <t xml:space="preserve">COLA </t>
  </si>
  <si>
    <t xml:space="preserve">FY 26 and FY27 no COLA </t>
  </si>
  <si>
    <t>Minimum Revenue - SCFF Calc</t>
  </si>
  <si>
    <t>n/a</t>
  </si>
  <si>
    <t>Stability</t>
  </si>
  <si>
    <t>Increase over Hold Harmless</t>
  </si>
  <si>
    <t>Account Code</t>
  </si>
  <si>
    <t>Expenditures</t>
  </si>
  <si>
    <t>Actuals 2015-16</t>
  </si>
  <si>
    <t>Actuals 2016-17</t>
  </si>
  <si>
    <t>Actuals 2017-18</t>
  </si>
  <si>
    <t>Actuals 2018-19</t>
  </si>
  <si>
    <t>Actuals 2019-20</t>
  </si>
  <si>
    <t>Adopted  Budget 2021-22</t>
  </si>
  <si>
    <t>Actuals              2021-22</t>
  </si>
  <si>
    <t>Adopted Budget 2022-2023</t>
  </si>
  <si>
    <t>Projected Budget 2023-2024</t>
  </si>
  <si>
    <t>Projected Budget 2024-2025</t>
  </si>
  <si>
    <t>Projected Budget 2025-2026</t>
  </si>
  <si>
    <t>Projected Budget 2026-2027</t>
  </si>
  <si>
    <t>2021-22 vs 2022-23</t>
  </si>
  <si>
    <t>861100-11-553200-67240-08-0000000</t>
  </si>
  <si>
    <t>A. Apportionment Revenue</t>
  </si>
  <si>
    <t>State General Apportionment</t>
  </si>
  <si>
    <t>863100-11-553200-67240-8-611800</t>
  </si>
  <si>
    <t>Education Protection Account</t>
  </si>
  <si>
    <t>867100, 88100, 881200, 881300, 881700, 881900</t>
  </si>
  <si>
    <t>Property Taxes</t>
  </si>
  <si>
    <t>887400-11-553200-67260-8-0</t>
  </si>
  <si>
    <t>Enrollment Fee</t>
  </si>
  <si>
    <t>Minimum Guaranteed Revenue (TCR)</t>
  </si>
  <si>
    <t>Deficit Factor</t>
  </si>
  <si>
    <t xml:space="preserve">Other Adjustment - EPA Reduction </t>
  </si>
  <si>
    <t>Hold Harmless Reduction</t>
  </si>
  <si>
    <t>Current HH Projected Revenue</t>
  </si>
  <si>
    <t>B. Ongoing Revenues</t>
  </si>
  <si>
    <t>861100-11-553200-67240-8-0</t>
  </si>
  <si>
    <t>Apprenticeship</t>
  </si>
  <si>
    <t>861430, 861450, 861500, 865650</t>
  </si>
  <si>
    <t>Other State Revenue/PT-FT Faculty</t>
  </si>
  <si>
    <t>Lottery (per FTES)</t>
  </si>
  <si>
    <t>Mandated Costs</t>
  </si>
  <si>
    <t>868300, 868400, 869800</t>
  </si>
  <si>
    <t>On-Behalf STRS / Other State Revenue</t>
  </si>
  <si>
    <t>Equal Employment Opportunity</t>
  </si>
  <si>
    <t>888010-11-5532000-67260-8-0 and 888020-11-553200-67260-8-0</t>
  </si>
  <si>
    <t>Nonresident Tuition (per Unit)</t>
  </si>
  <si>
    <t>C. One-Time Revenue Adjustments</t>
  </si>
  <si>
    <t>Prior Year Revenue (Not Accrued)</t>
  </si>
  <si>
    <t>Intrafund Transfers</t>
  </si>
  <si>
    <t>883600-11-553200-67260-8-0</t>
  </si>
  <si>
    <t>FOLLETT</t>
  </si>
  <si>
    <t>HLTH SVCS SALE TO EMPLOYEE</t>
  </si>
  <si>
    <t>LIBRARY COPIER SALES</t>
  </si>
  <si>
    <t>CATALOG SALES</t>
  </si>
  <si>
    <t>884215-11-553200-67260-8-811434</t>
  </si>
  <si>
    <t>BUSINESS SERVICES CHARGES</t>
  </si>
  <si>
    <t>TICKET/GATE/PROGRAM SALES</t>
  </si>
  <si>
    <t>884300-11-553200-67260-8-811665</t>
  </si>
  <si>
    <t>VENDING COMMISSIONS</t>
  </si>
  <si>
    <t>884350-11-553200-67260-8-811550, 811555, 811940</t>
  </si>
  <si>
    <t>MISC SALES AND COMMISSION</t>
  </si>
  <si>
    <t>885300-11-553200-67260-8-811571</t>
  </si>
  <si>
    <t>FACILITIES RENTAL AND LEASE</t>
  </si>
  <si>
    <t>886100-11-553200-67260-8-0</t>
  </si>
  <si>
    <t>INTEREST BANK ACCOUNTS</t>
  </si>
  <si>
    <t>886200-11-553200-67260-8-0</t>
  </si>
  <si>
    <t xml:space="preserve">Interest  </t>
  </si>
  <si>
    <t>886500-11-553200-67260-8-0</t>
  </si>
  <si>
    <t>OTH INTEREST &amp; INVEST INCOM</t>
  </si>
  <si>
    <t>FIELD TRP;USEOF NONDIST FAC</t>
  </si>
  <si>
    <t>887620-11-553200-67260-8-811050</t>
  </si>
  <si>
    <t>HLTH SERVICE PHYSICAL EXAM</t>
  </si>
  <si>
    <t>INSTR MAT FEES;SALE MATERL</t>
  </si>
  <si>
    <t>887910-11-553200-67260-8-0 , 811650</t>
  </si>
  <si>
    <t>Transcript Income</t>
  </si>
  <si>
    <t>89 Nonsident Fee Foreign - HEERF2 (LR)</t>
  </si>
  <si>
    <t>89 Vending Commissions - HEERF2 (LR)</t>
  </si>
  <si>
    <t>Miscellaneous Local Income</t>
  </si>
  <si>
    <t>C. One-Time Revenues</t>
  </si>
  <si>
    <t>Total Revenues</t>
  </si>
  <si>
    <t>11 - Instructional Salaries Contract</t>
  </si>
  <si>
    <t>12 - Administrative Salaries</t>
  </si>
  <si>
    <t>13 - Instructional Salaries Other</t>
  </si>
  <si>
    <t>14 - Other Hourly</t>
  </si>
  <si>
    <t>Subtotal Academic Salaries</t>
  </si>
  <si>
    <t>21 - Non-Instructional  Classified Salaries</t>
  </si>
  <si>
    <t>22 - Instructional Aide Classified Salaries</t>
  </si>
  <si>
    <t>23 - Hourly  Salaries</t>
  </si>
  <si>
    <t>24 - Instructional Aides Other</t>
  </si>
  <si>
    <t>Subtotal Classified Salaries</t>
  </si>
  <si>
    <t>31 - STRS</t>
  </si>
  <si>
    <t>32 - PERS</t>
  </si>
  <si>
    <t>33 - OASDI</t>
  </si>
  <si>
    <t>34 - HW</t>
  </si>
  <si>
    <t>34 - HW EST. SAVINGS</t>
  </si>
  <si>
    <t>35 - Unemployment</t>
  </si>
  <si>
    <t>36 - Workers' Compensation</t>
  </si>
  <si>
    <t>37 - APPLE</t>
  </si>
  <si>
    <t>39 - Other Benefits</t>
  </si>
  <si>
    <t>Subtotal Benefits</t>
  </si>
  <si>
    <t>A. Salaries and Benefits</t>
  </si>
  <si>
    <t>40 - Supplies</t>
  </si>
  <si>
    <t>50 - Services</t>
  </si>
  <si>
    <t>60 - Capital Outlay</t>
  </si>
  <si>
    <t>72 - Other Outgo</t>
  </si>
  <si>
    <t>73 - Other Transfers</t>
  </si>
  <si>
    <t>B. Other Operating Expenses</t>
  </si>
  <si>
    <t>Total Expenditures</t>
  </si>
  <si>
    <t>Change in Fund Balance</t>
  </si>
  <si>
    <t>Beginning Fund Balance</t>
  </si>
  <si>
    <t>Ending Fund Balance</t>
  </si>
  <si>
    <t>Reserve %</t>
  </si>
  <si>
    <t>% of Compensation vs. Expense</t>
  </si>
  <si>
    <t>% of Compensation vs. Revenue</t>
  </si>
  <si>
    <t xml:space="preserve"> % of Compensation vs. Expense      (before transfer)</t>
  </si>
  <si>
    <t>Ending Fund Balance without COLA</t>
  </si>
  <si>
    <t>Fund 69</t>
  </si>
  <si>
    <t>Transfers IN - from PY</t>
  </si>
  <si>
    <t>Interest</t>
  </si>
  <si>
    <t>Future Retiree HP - District Contribution</t>
  </si>
  <si>
    <t>Total Revenue</t>
  </si>
  <si>
    <t>Total Employee Benefits</t>
  </si>
  <si>
    <t>Transfer to JPA</t>
  </si>
  <si>
    <t>Net Surplus (Deficit)</t>
  </si>
  <si>
    <t>Fund 79 - Trust Fund</t>
  </si>
  <si>
    <t>Transfers IN</t>
  </si>
  <si>
    <t>Interest Bank Account</t>
  </si>
  <si>
    <t>Unrealized Gain/Loss on FMV</t>
  </si>
  <si>
    <t>Other Interest/Investment Income</t>
  </si>
  <si>
    <t>Admin Expense</t>
  </si>
  <si>
    <t>Actuals  2020-21</t>
  </si>
  <si>
    <t>Actuals              2022-23</t>
  </si>
  <si>
    <t>Revenues</t>
  </si>
  <si>
    <t>Projected Actuals 2022-23</t>
  </si>
  <si>
    <t>% of Year</t>
  </si>
  <si>
    <t>% of total</t>
  </si>
  <si>
    <t>YTD Actuals              2022-23</t>
  </si>
  <si>
    <t>divided by Total Expenditures</t>
  </si>
  <si>
    <t>Net Operating Revenue Ratio</t>
  </si>
  <si>
    <t>divided by Total Revenues</t>
  </si>
  <si>
    <t>ACCJC Composite Financial Index Criteria for CA Community Colleges</t>
  </si>
  <si>
    <t>* Each year is scored individually</t>
  </si>
  <si>
    <r>
      <t xml:space="preserve">2. Net Operating Revenue Ratio </t>
    </r>
    <r>
      <rPr>
        <sz val="11"/>
        <color rgb="FF000000"/>
        <rFont val="Calibri"/>
        <family val="2"/>
        <scheme val="minor"/>
      </rPr>
      <t>Surplus or deficit ÷ total revenue</t>
    </r>
  </si>
  <si>
    <r>
      <t xml:space="preserve">3. Surplus or Deficit </t>
    </r>
    <r>
      <rPr>
        <sz val="11"/>
        <color rgb="FF000000"/>
        <rFont val="Calibri"/>
        <family val="2"/>
        <scheme val="minor"/>
      </rPr>
      <t>Total GFU revenue – Expenditures</t>
    </r>
  </si>
  <si>
    <r>
      <t xml:space="preserve">4. Compensation Percentage </t>
    </r>
    <r>
      <rPr>
        <sz val="11"/>
        <color indexed="8"/>
        <rFont val="Calibri"/>
        <family val="2"/>
        <scheme val="minor"/>
      </rPr>
      <t>Salaries &amp; benefits as a percentage of total expenditures</t>
    </r>
  </si>
  <si>
    <r>
      <t xml:space="preserve">5. College Enrollment </t>
    </r>
    <r>
      <rPr>
        <sz val="11"/>
        <color indexed="8"/>
        <rFont val="Calibri"/>
        <family val="2"/>
        <scheme val="minor"/>
      </rPr>
      <t>Percent change in FTES over the three-year reporting period</t>
    </r>
  </si>
  <si>
    <r>
      <t xml:space="preserve">6. Funded Ratio: OPEB </t>
    </r>
    <r>
      <rPr>
        <sz val="11"/>
        <color indexed="8"/>
        <rFont val="Calibri"/>
        <family val="2"/>
        <scheme val="minor"/>
      </rPr>
      <t>Funded percentage of Total OPEB Liability (most recent FY only)</t>
    </r>
  </si>
  <si>
    <r>
      <t xml:space="preserve">7. Change in Cash Balance as percentage of expenditures </t>
    </r>
    <r>
      <rPr>
        <sz val="11"/>
        <color indexed="8"/>
        <rFont val="Calibri"/>
        <family val="2"/>
        <scheme val="minor"/>
      </rPr>
      <t>Change from 2 years prior to current fiscal year as a percent of expenditures</t>
    </r>
  </si>
  <si>
    <r>
      <t xml:space="preserve">8. Audit Concerns </t>
    </r>
    <r>
      <rPr>
        <sz val="11"/>
        <color indexed="8"/>
        <rFont val="Calibri"/>
        <family val="2"/>
        <scheme val="minor"/>
      </rPr>
      <t>Findings &amp; questioned costs, significant deficiencies, material</t>
    </r>
  </si>
  <si>
    <t>weaknesses (most recent report year)</t>
  </si>
  <si>
    <r>
      <t xml:space="preserve">9. Student Loan Default Rate </t>
    </r>
    <r>
      <rPr>
        <sz val="11"/>
        <color indexed="8"/>
        <rFont val="Calibri"/>
        <family val="2"/>
        <scheme val="minor"/>
      </rPr>
      <t>Official cohort default rate from US Department of Education</t>
    </r>
  </si>
  <si>
    <r>
      <t xml:space="preserve">10. Cash Flow Projections </t>
    </r>
    <r>
      <rPr>
        <sz val="11"/>
        <color indexed="8"/>
        <rFont val="Calibri"/>
        <family val="2"/>
        <scheme val="minor"/>
      </rPr>
      <t>Consideration of cash flow projections/significant cash flow issues</t>
    </r>
  </si>
  <si>
    <r>
      <t xml:space="preserve">11. Active negotiations </t>
    </r>
    <r>
      <rPr>
        <sz val="11"/>
        <color indexed="8"/>
        <rFont val="Calibri"/>
        <family val="2"/>
        <scheme val="minor"/>
      </rPr>
      <t>Consideration of the state of any open negotiations</t>
    </r>
  </si>
  <si>
    <t>12. Excessive Changes in College and District Leadership</t>
  </si>
  <si>
    <t>Consideration of leadership stability</t>
  </si>
  <si>
    <t>Notes:</t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</si>
  <si>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  <scheme val="minor"/>
      </rPr>
      <t>Calculations for criteria 1-3 do NOT include one-time transfers-in as revenue, with the exception of HEERF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</si>
  <si>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  <scheme val="minor"/>
      </rPr>
      <t>Calculations for criteria 2-3-4-9 use three-year averages for all variables.</t>
    </r>
  </si>
  <si>
    <r>
      <t>·</t>
    </r>
    <r>
      <rPr>
        <sz val="7"/>
        <color indexed="8"/>
        <rFont val="Times New Roman"/>
        <family val="1"/>
      </rPr>
      <t xml:space="preserve">         </t>
    </r>
    <r>
      <rPr>
        <sz val="10"/>
        <color indexed="8"/>
        <rFont val="Calibri"/>
        <family val="2"/>
        <scheme val="minor"/>
      </rPr>
      <t>Calculation for criteria 6 uses the most recent FY only.</t>
    </r>
  </si>
  <si>
    <t>FCMAT Recommendations</t>
  </si>
  <si>
    <r>
      <t>1.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Negotiations</t>
    </r>
  </si>
  <si>
    <r>
      <t>2.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Internal Audit and Process Evaluation/Transparency of Auditor</t>
    </r>
  </si>
  <si>
    <r>
      <t>3.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Management Structure/Permanent VP Assignments</t>
    </r>
  </si>
  <si>
    <r>
      <t>4.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 xml:space="preserve">Budget Development tied to Planning – includes: </t>
    </r>
  </si>
  <si>
    <r>
      <t>b.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Update multi-year projections</t>
    </r>
  </si>
  <si>
    <r>
      <t>c.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Remove COLA</t>
    </r>
  </si>
  <si>
    <r>
      <t>d.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Remove center funding (complete)</t>
    </r>
  </si>
  <si>
    <r>
      <t>e.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Plan for future community funding (“coming soon” – 2027?)</t>
    </r>
  </si>
  <si>
    <r>
      <t>f.</t>
    </r>
    <r>
      <rPr>
        <sz val="7"/>
        <color indexed="8"/>
        <rFont val="Times New Roman"/>
        <family val="1"/>
      </rPr>
      <t xml:space="preserve">        </t>
    </r>
    <r>
      <rPr>
        <sz val="11"/>
        <color indexed="8"/>
        <rFont val="Calibri"/>
        <family val="2"/>
        <scheme val="minor"/>
      </rPr>
      <t>Full-time faculty obligation count within 2% of CCCCO minimum</t>
    </r>
  </si>
  <si>
    <r>
      <t>g.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3-year goal to increase efficiency to CCC standards (17.5) and consider SCFF</t>
    </r>
  </si>
  <si>
    <r>
      <t>h.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 xml:space="preserve">Align revenue and expenditures </t>
    </r>
  </si>
  <si>
    <r>
      <t>5.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Enrollment management (integrate)</t>
    </r>
  </si>
  <si>
    <r>
      <t>6.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Data integrity</t>
    </r>
  </si>
  <si>
    <r>
      <t>7.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>Integrated position control</t>
    </r>
  </si>
  <si>
    <r>
      <t>8.</t>
    </r>
    <r>
      <rPr>
        <sz val="7"/>
        <color indexed="8"/>
        <rFont val="Times New Roman"/>
        <family val="1"/>
      </rPr>
      <t xml:space="preserve">      </t>
    </r>
    <r>
      <rPr>
        <sz val="12"/>
        <color indexed="8"/>
        <rFont val="Calibri"/>
        <family val="2"/>
        <scheme val="minor"/>
      </rPr>
      <t>Adopt benchmarks in goals</t>
    </r>
  </si>
  <si>
    <t>Surplus or Deficit</t>
  </si>
  <si>
    <t>minus Total GFU Expenditures</t>
  </si>
  <si>
    <t>Compensation Percentage</t>
  </si>
  <si>
    <t>chk</t>
  </si>
  <si>
    <t>divided by Total OPEB Liability</t>
  </si>
  <si>
    <t>Change in Cash Balance as a % of Expenditures</t>
  </si>
  <si>
    <t>Primary Reserve Ratio (Reserve %)</t>
  </si>
  <si>
    <t>ANNUAL 311 EXCERPT</t>
  </si>
  <si>
    <t>FY 2021-22</t>
  </si>
  <si>
    <t>METRIC</t>
  </si>
  <si>
    <t xml:space="preserve">DESCRIPTION </t>
  </si>
  <si>
    <t>FY 2020-21</t>
  </si>
  <si>
    <t>Total Revenues incl. Other Financing Sources</t>
  </si>
  <si>
    <t>Total Expenditures incl. Other Outgo</t>
  </si>
  <si>
    <t>Surplus/Deficit</t>
  </si>
  <si>
    <t>Ending Cash Balance</t>
  </si>
  <si>
    <t xml:space="preserve">Budget to Actuals </t>
  </si>
  <si>
    <t>FY 2022-23 (ADOPTED BUDGET)</t>
  </si>
  <si>
    <t>Funded Ratio (from Audit Report)</t>
  </si>
  <si>
    <t>FY 2019-20</t>
  </si>
  <si>
    <t>FY 2018-19</t>
  </si>
  <si>
    <t>Column2</t>
  </si>
  <si>
    <t>Column3</t>
  </si>
  <si>
    <t>Column4</t>
  </si>
  <si>
    <t>Column5</t>
  </si>
  <si>
    <t>Column6</t>
  </si>
  <si>
    <t>Column7</t>
  </si>
  <si>
    <t>Column8</t>
  </si>
  <si>
    <t>Column10</t>
  </si>
  <si>
    <t>Column11</t>
  </si>
  <si>
    <t>Column12</t>
  </si>
  <si>
    <t>Column14</t>
  </si>
  <si>
    <t>.</t>
  </si>
  <si>
    <t xml:space="preserve"> Ending GFU Fund Balance </t>
  </si>
  <si>
    <t>Surplus or (Deficit)</t>
  </si>
  <si>
    <t>Total GFU Revenue</t>
  </si>
  <si>
    <t>Total Compensation</t>
  </si>
  <si>
    <t>Total Balance in JPA</t>
  </si>
  <si>
    <t>Change in Cash Balance</t>
  </si>
  <si>
    <t>PALOMAR COLLEGE             FISCAL METRICS DASHBOARD</t>
  </si>
  <si>
    <r>
      <t xml:space="preserve">1. Primary Reserve Ratio </t>
    </r>
    <r>
      <rPr>
        <sz val="11"/>
        <color rgb="FF000000"/>
        <rFont val="Calibri"/>
        <family val="2"/>
        <scheme val="minor"/>
      </rPr>
      <t>Fund balance percentage: Ending GFU balance ÷ total GFU expenses</t>
    </r>
  </si>
  <si>
    <r>
      <t>a.</t>
    </r>
    <r>
      <rPr>
        <sz val="7"/>
        <color indexed="8"/>
        <rFont val="Times New Roman"/>
        <family val="1"/>
      </rPr>
      <t xml:space="preserve">       </t>
    </r>
    <r>
      <rPr>
        <sz val="11"/>
        <color indexed="8"/>
        <rFont val="Calibri"/>
        <family val="2"/>
        <scheme val="minor"/>
      </rPr>
      <t xml:space="preserve">3-year goal to reduce total compensation to 85% of budget. </t>
    </r>
  </si>
  <si>
    <t>This dashboard is used to monitor the fiscal health of Palomar College through a series of metrics</t>
  </si>
  <si>
    <t xml:space="preserve">listed below as defined and used by ACCJC and FCMAT as financial criteria for California </t>
  </si>
  <si>
    <t xml:space="preserve">Community Colleges. The data reflects a 5-year trend including the current year's budget data </t>
  </si>
  <si>
    <t xml:space="preserve">which will be updated on a quarterly basis to coincide with the 311Q reports submitted to the state. </t>
  </si>
  <si>
    <r>
      <t xml:space="preserve">In addition to the metrics, Palomar's Moody's ratings were recently upgraded to Aa2 with a </t>
    </r>
    <r>
      <rPr>
        <b/>
        <sz val="14"/>
        <color rgb="FF00B0F0"/>
        <rFont val="Calibri-Bold"/>
      </rPr>
      <t>stable</t>
    </r>
    <r>
      <rPr>
        <b/>
        <sz val="14"/>
        <color indexed="8"/>
        <rFont val="Calibri-Bold"/>
      </rPr>
      <t xml:space="preserve"> outlook. </t>
    </r>
  </si>
  <si>
    <t>FTES ( Funded 3-Year Average )</t>
  </si>
  <si>
    <t>FTES ( per Annual 320 Report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</si>
</sst>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$-409]* #,##0.00_);_([$$-409]* \(#,##0.00\);_([$$-409]* &quot;-&quot;??_);_(@_)"/>
    <numFmt numFmtId="167" formatCode="0.0%"/>
    <numFmt numFmtId="168" formatCode="_(* #,##0.0_);_(* \(#,##0.0\);_(* &quot;-&quot;??_);_(@_)"/>
  </numFmts>
  <fonts count="5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4" tint="0.3999755851924192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i/>
      <sz val="11"/>
      <color theme="7" tint="-0.24997711111789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C00000"/>
      <name val="Calibri"/>
      <family val="2"/>
      <scheme val="minor"/>
    </font>
    <font>
      <i/>
      <sz val="11"/>
      <color theme="5" tint="-0.249977111117893"/>
      <name val="Calibri"/>
      <family val="2"/>
      <scheme val="minor"/>
    </font>
    <font>
      <b/>
      <sz val="10"/>
      <color rgb="FFC00000"/>
      <name val="Arial"/>
      <family val="2"/>
    </font>
    <font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7030A0"/>
      <name val="Calibri"/>
      <family val="2"/>
      <scheme val="minor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i/>
      <sz val="11"/>
      <color theme="5"/>
      <name val="Calibri"/>
      <family val="2"/>
      <scheme val="minor"/>
    </font>
    <font>
      <i/>
      <sz val="11"/>
      <color theme="5"/>
      <name val="Calibri"/>
      <family val="2"/>
    </font>
    <font>
      <b/>
      <sz val="11"/>
      <name val="Calibri"/>
      <family val="2"/>
      <scheme val="minor"/>
    </font>
    <font>
      <b/>
      <i/>
      <sz val="11"/>
      <color theme="7" tint="-0.249977111117893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-Bold"/>
    </font>
    <font>
      <b/>
      <sz val="14"/>
      <color rgb="FFFFFFFF"/>
      <name val="Calibri-Bold"/>
    </font>
    <font>
      <b/>
      <sz val="11"/>
      <color rgb="FF000000"/>
      <name val="Calibri-Bold"/>
    </font>
    <font>
      <i/>
      <sz val="11"/>
      <color rgb="FF000000"/>
      <name val="Calibri-Italic"/>
    </font>
    <font>
      <b/>
      <sz val="11"/>
      <color indexed="8"/>
      <name val="Calibri-Bold"/>
    </font>
    <font>
      <b/>
      <sz val="10"/>
      <color indexed="8"/>
      <name val="Calibri-Bold"/>
    </font>
    <font>
      <sz val="10"/>
      <color indexed="8"/>
      <name val="Symbol"/>
      <family val="1"/>
      <charset val="2"/>
    </font>
    <font>
      <sz val="7"/>
      <color indexed="8"/>
      <name val="Times New Roman"/>
      <family val="1"/>
    </font>
    <font>
      <sz val="10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Symbol"/>
      <family val="1"/>
      <charset val="2"/>
    </font>
    <font>
      <sz val="9"/>
      <color indexed="8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u val="doubleAccounting"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4"/>
      <color rgb="FF00B0F0"/>
      <name val="Calibri-Bold"/>
    </font>
  </fonts>
  <fills count="14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-0.49998474074526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C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dashed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0" borderId="0"/>
  </cellStyleXfs>
  <cellXfs count="431">
    <xf numFmtId="0" fontId="0" fillId="0" borderId="0" xfId="0"/>
    <xf numFmtId="164" fontId="5" fillId="0" borderId="0" xfId="0" applyNumberFormat="1" applyFont="1"/>
    <xf numFmtId="164" fontId="0" fillId="0" borderId="0" xfId="1" applyNumberFormat="1" applyFont="1"/>
    <xf numFmtId="43" fontId="0" fillId="0" borderId="0" xfId="1" applyFont="1" applyFill="1"/>
    <xf numFmtId="43" fontId="0" fillId="0" borderId="0" xfId="1" applyFont="1"/>
    <xf numFmtId="0" fontId="6" fillId="0" borderId="1" xfId="0" applyFont="1" applyBorder="1"/>
    <xf numFmtId="0" fontId="6" fillId="0" borderId="2" xfId="0" applyFont="1" applyBorder="1"/>
    <xf numFmtId="44" fontId="7" fillId="0" borderId="2" xfId="2" applyFont="1" applyBorder="1"/>
    <xf numFmtId="164" fontId="8" fillId="0" borderId="2" xfId="2" applyNumberFormat="1" applyFont="1" applyBorder="1"/>
    <xf numFmtId="164" fontId="3" fillId="0" borderId="2" xfId="2" applyNumberFormat="1" applyFont="1" applyBorder="1"/>
    <xf numFmtId="10" fontId="9" fillId="0" borderId="2" xfId="3" applyNumberFormat="1" applyFont="1" applyFill="1" applyBorder="1"/>
    <xf numFmtId="10" fontId="9" fillId="0" borderId="3" xfId="3" applyNumberFormat="1" applyFont="1" applyFill="1" applyBorder="1"/>
    <xf numFmtId="10" fontId="9" fillId="0" borderId="0" xfId="3" applyNumberFormat="1" applyFont="1" applyFill="1"/>
    <xf numFmtId="0" fontId="3" fillId="0" borderId="0" xfId="0" applyFont="1"/>
    <xf numFmtId="14" fontId="10" fillId="0" borderId="4" xfId="0" applyNumberFormat="1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44" fontId="7" fillId="0" borderId="0" xfId="2" applyFont="1" applyBorder="1" applyAlignment="1">
      <alignment horizontal="left"/>
    </xf>
    <xf numFmtId="164" fontId="8" fillId="0" borderId="0" xfId="2" applyNumberFormat="1" applyFont="1" applyFill="1" applyBorder="1" applyAlignment="1">
      <alignment horizontal="left"/>
    </xf>
    <xf numFmtId="164" fontId="9" fillId="0" borderId="0" xfId="4" applyNumberFormat="1" applyFont="1" applyFill="1" applyBorder="1"/>
    <xf numFmtId="164" fontId="9" fillId="0" borderId="5" xfId="4" applyNumberFormat="1" applyFont="1" applyFill="1" applyBorder="1"/>
    <xf numFmtId="164" fontId="9" fillId="0" borderId="0" xfId="4" applyNumberFormat="1" applyFont="1" applyFill="1"/>
    <xf numFmtId="14" fontId="0" fillId="0" borderId="4" xfId="0" applyNumberFormat="1" applyBorder="1"/>
    <xf numFmtId="44" fontId="7" fillId="0" borderId="0" xfId="2" applyFont="1" applyBorder="1"/>
    <xf numFmtId="164" fontId="8" fillId="0" borderId="0" xfId="2" applyNumberFormat="1" applyFont="1" applyBorder="1"/>
    <xf numFmtId="164" fontId="7" fillId="0" borderId="0" xfId="2" applyNumberFormat="1" applyFont="1" applyFill="1" applyBorder="1"/>
    <xf numFmtId="0" fontId="2" fillId="0" borderId="0" xfId="0" applyFont="1"/>
    <xf numFmtId="0" fontId="11" fillId="0" borderId="0" xfId="0" applyFont="1"/>
    <xf numFmtId="14" fontId="12" fillId="0" borderId="4" xfId="0" applyNumberFormat="1" applyFont="1" applyBorder="1" applyAlignment="1">
      <alignment horizontal="left"/>
    </xf>
    <xf numFmtId="14" fontId="12" fillId="0" borderId="0" xfId="0" applyNumberFormat="1" applyFont="1" applyAlignment="1">
      <alignment horizontal="left"/>
    </xf>
    <xf numFmtId="44" fontId="11" fillId="0" borderId="0" xfId="2" applyFont="1" applyBorder="1" applyAlignment="1">
      <alignment horizontal="left"/>
    </xf>
    <xf numFmtId="164" fontId="13" fillId="0" borderId="0" xfId="2" applyNumberFormat="1" applyFont="1" applyFill="1" applyBorder="1" applyAlignment="1">
      <alignment horizontal="left"/>
    </xf>
    <xf numFmtId="164" fontId="11" fillId="0" borderId="0" xfId="4" applyNumberFormat="1" applyFont="1" applyFill="1" applyBorder="1"/>
    <xf numFmtId="164" fontId="11" fillId="0" borderId="0" xfId="4" applyNumberFormat="1" applyFont="1" applyFill="1" applyBorder="1" applyAlignment="1">
      <alignment horizontal="center"/>
    </xf>
    <xf numFmtId="164" fontId="11" fillId="0" borderId="5" xfId="4" applyNumberFormat="1" applyFont="1" applyFill="1" applyBorder="1" applyAlignment="1">
      <alignment horizontal="center"/>
    </xf>
    <xf numFmtId="164" fontId="11" fillId="0" borderId="0" xfId="4" applyNumberFormat="1" applyFont="1" applyFill="1"/>
    <xf numFmtId="43" fontId="11" fillId="0" borderId="0" xfId="1" applyFont="1"/>
    <xf numFmtId="14" fontId="12" fillId="0" borderId="6" xfId="0" applyNumberFormat="1" applyFont="1" applyBorder="1" applyAlignment="1">
      <alignment horizontal="left"/>
    </xf>
    <xf numFmtId="0" fontId="0" fillId="0" borderId="7" xfId="0" applyBorder="1"/>
    <xf numFmtId="44" fontId="7" fillId="0" borderId="7" xfId="2" applyFont="1" applyBorder="1"/>
    <xf numFmtId="164" fontId="8" fillId="0" borderId="7" xfId="2" applyNumberFormat="1" applyFont="1" applyBorder="1"/>
    <xf numFmtId="164" fontId="7" fillId="0" borderId="7" xfId="2" applyNumberFormat="1" applyFont="1" applyFill="1" applyBorder="1"/>
    <xf numFmtId="164" fontId="11" fillId="0" borderId="7" xfId="4" applyNumberFormat="1" applyFont="1" applyFill="1" applyBorder="1"/>
    <xf numFmtId="164" fontId="11" fillId="0" borderId="7" xfId="4" applyNumberFormat="1" applyFont="1" applyFill="1" applyBorder="1" applyAlignment="1">
      <alignment horizontal="center"/>
    </xf>
    <xf numFmtId="164" fontId="11" fillId="0" borderId="8" xfId="4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" xfId="0" applyFont="1" applyFill="1" applyBorder="1"/>
    <xf numFmtId="164" fontId="14" fillId="4" borderId="2" xfId="0" applyNumberFormat="1" applyFont="1" applyFill="1" applyBorder="1" applyAlignment="1">
      <alignment horizontal="center" wrapText="1"/>
    </xf>
    <xf numFmtId="164" fontId="6" fillId="5" borderId="9" xfId="1" applyNumberFormat="1" applyFont="1" applyFill="1" applyBorder="1" applyAlignment="1">
      <alignment horizontal="center" wrapText="1"/>
    </xf>
    <xf numFmtId="1" fontId="6" fillId="6" borderId="2" xfId="1" applyNumberFormat="1" applyFont="1" applyFill="1" applyBorder="1" applyAlignment="1">
      <alignment horizontal="center" wrapText="1"/>
    </xf>
    <xf numFmtId="1" fontId="6" fillId="6" borderId="3" xfId="1" applyNumberFormat="1" applyFont="1" applyFill="1" applyBorder="1" applyAlignment="1">
      <alignment horizontal="center" wrapText="1"/>
    </xf>
    <xf numFmtId="165" fontId="15" fillId="0" borderId="0" xfId="0" applyNumberFormat="1" applyFont="1"/>
    <xf numFmtId="0" fontId="15" fillId="0" borderId="0" xfId="0" applyFont="1"/>
    <xf numFmtId="43" fontId="0" fillId="0" borderId="0" xfId="0" applyNumberFormat="1"/>
    <xf numFmtId="0" fontId="6" fillId="0" borderId="4" xfId="0" applyFont="1" applyBorder="1"/>
    <xf numFmtId="4" fontId="6" fillId="0" borderId="0" xfId="0" applyNumberFormat="1" applyFont="1"/>
    <xf numFmtId="164" fontId="16" fillId="0" borderId="0" xfId="0" applyNumberFormat="1" applyFont="1"/>
    <xf numFmtId="164" fontId="6" fillId="0" borderId="10" xfId="0" applyNumberFormat="1" applyFont="1" applyBorder="1"/>
    <xf numFmtId="0" fontId="6" fillId="0" borderId="0" xfId="0" applyFont="1"/>
    <xf numFmtId="0" fontId="6" fillId="0" borderId="5" xfId="0" applyFont="1" applyBorder="1"/>
    <xf numFmtId="0" fontId="17" fillId="0" borderId="4" xfId="5" applyFont="1" applyBorder="1"/>
    <xf numFmtId="4" fontId="17" fillId="0" borderId="0" xfId="5" applyNumberFormat="1" applyFont="1"/>
    <xf numFmtId="164" fontId="18" fillId="0" borderId="0" xfId="5" applyNumberFormat="1" applyFont="1"/>
    <xf numFmtId="164" fontId="0" fillId="0" borderId="10" xfId="1" applyNumberFormat="1" applyFont="1" applyFill="1" applyBorder="1"/>
    <xf numFmtId="164" fontId="0" fillId="0" borderId="10" xfId="1" applyNumberFormat="1" applyFont="1" applyBorder="1"/>
    <xf numFmtId="165" fontId="0" fillId="0" borderId="0" xfId="1" applyNumberFormat="1" applyFont="1" applyBorder="1"/>
    <xf numFmtId="165" fontId="0" fillId="0" borderId="5" xfId="1" applyNumberFormat="1" applyFont="1" applyBorder="1"/>
    <xf numFmtId="165" fontId="0" fillId="0" borderId="0" xfId="0" applyNumberFormat="1"/>
    <xf numFmtId="10" fontId="0" fillId="0" borderId="0" xfId="3" applyNumberFormat="1" applyFont="1"/>
    <xf numFmtId="165" fontId="0" fillId="0" borderId="0" xfId="1" applyNumberFormat="1" applyFont="1" applyFill="1" applyBorder="1"/>
    <xf numFmtId="166" fontId="0" fillId="0" borderId="0" xfId="3" applyNumberFormat="1" applyFont="1"/>
    <xf numFmtId="0" fontId="17" fillId="0" borderId="6" xfId="5" applyFont="1" applyBorder="1"/>
    <xf numFmtId="4" fontId="17" fillId="0" borderId="7" xfId="5" applyNumberFormat="1" applyFont="1" applyBorder="1"/>
    <xf numFmtId="164" fontId="18" fillId="0" borderId="11" xfId="5" applyNumberFormat="1" applyFont="1" applyBorder="1"/>
    <xf numFmtId="164" fontId="0" fillId="0" borderId="12" xfId="1" applyNumberFormat="1" applyFont="1" applyFill="1" applyBorder="1"/>
    <xf numFmtId="164" fontId="0" fillId="0" borderId="12" xfId="1" applyNumberFormat="1" applyFont="1" applyBorder="1"/>
    <xf numFmtId="165" fontId="0" fillId="0" borderId="7" xfId="1" applyNumberFormat="1" applyFont="1" applyBorder="1"/>
    <xf numFmtId="0" fontId="19" fillId="0" borderId="4" xfId="5" applyFont="1" applyBorder="1"/>
    <xf numFmtId="165" fontId="6" fillId="0" borderId="0" xfId="1" applyNumberFormat="1" applyFont="1" applyBorder="1"/>
    <xf numFmtId="164" fontId="16" fillId="0" borderId="0" xfId="1" applyNumberFormat="1" applyFont="1" applyFill="1" applyBorder="1"/>
    <xf numFmtId="164" fontId="6" fillId="0" borderId="10" xfId="1" applyNumberFormat="1" applyFont="1" applyBorder="1"/>
    <xf numFmtId="165" fontId="6" fillId="0" borderId="0" xfId="0" applyNumberFormat="1" applyFont="1"/>
    <xf numFmtId="165" fontId="6" fillId="0" borderId="5" xfId="0" applyNumberFormat="1" applyFont="1" applyBorder="1"/>
    <xf numFmtId="43" fontId="6" fillId="0" borderId="0" xfId="0" applyNumberFormat="1" applyFont="1"/>
    <xf numFmtId="165" fontId="20" fillId="0" borderId="0" xfId="1" applyNumberFormat="1" applyFont="1" applyBorder="1"/>
    <xf numFmtId="164" fontId="20" fillId="0" borderId="10" xfId="1" applyNumberFormat="1" applyFont="1" applyBorder="1"/>
    <xf numFmtId="165" fontId="20" fillId="0" borderId="0" xfId="0" applyNumberFormat="1" applyFont="1"/>
    <xf numFmtId="165" fontId="20" fillId="0" borderId="5" xfId="0" applyNumberFormat="1" applyFont="1" applyBorder="1"/>
    <xf numFmtId="165" fontId="21" fillId="0" borderId="0" xfId="1" applyNumberFormat="1" applyFont="1" applyBorder="1" applyAlignment="1">
      <alignment horizontal="center"/>
    </xf>
    <xf numFmtId="165" fontId="20" fillId="0" borderId="5" xfId="1" applyNumberFormat="1" applyFont="1" applyBorder="1"/>
    <xf numFmtId="165" fontId="20" fillId="0" borderId="0" xfId="1" applyNumberFormat="1" applyFont="1" applyFill="1" applyBorder="1"/>
    <xf numFmtId="0" fontId="22" fillId="0" borderId="4" xfId="5" applyFont="1" applyBorder="1"/>
    <xf numFmtId="165" fontId="20" fillId="7" borderId="7" xfId="1" applyNumberFormat="1" applyFont="1" applyFill="1" applyBorder="1"/>
    <xf numFmtId="164" fontId="23" fillId="7" borderId="0" xfId="1" applyNumberFormat="1" applyFont="1" applyFill="1" applyBorder="1"/>
    <xf numFmtId="164" fontId="20" fillId="7" borderId="12" xfId="1" applyNumberFormat="1" applyFont="1" applyFill="1" applyBorder="1"/>
    <xf numFmtId="165" fontId="20" fillId="7" borderId="13" xfId="1" applyNumberFormat="1" applyFont="1" applyFill="1" applyBorder="1"/>
    <xf numFmtId="165" fontId="20" fillId="7" borderId="8" xfId="1" applyNumberFormat="1" applyFont="1" applyFill="1" applyBorder="1"/>
    <xf numFmtId="165" fontId="24" fillId="0" borderId="0" xfId="0" applyNumberFormat="1" applyFont="1"/>
    <xf numFmtId="0" fontId="19" fillId="8" borderId="14" xfId="5" applyFont="1" applyFill="1" applyBorder="1"/>
    <xf numFmtId="165" fontId="6" fillId="8" borderId="7" xfId="1" applyNumberFormat="1" applyFont="1" applyFill="1" applyBorder="1"/>
    <xf numFmtId="164" fontId="6" fillId="8" borderId="15" xfId="1" applyNumberFormat="1" applyFont="1" applyFill="1" applyBorder="1"/>
    <xf numFmtId="164" fontId="6" fillId="8" borderId="12" xfId="1" applyNumberFormat="1" applyFont="1" applyFill="1" applyBorder="1"/>
    <xf numFmtId="165" fontId="6" fillId="8" borderId="16" xfId="1" applyNumberFormat="1" applyFont="1" applyFill="1" applyBorder="1"/>
    <xf numFmtId="165" fontId="6" fillId="8" borderId="17" xfId="1" applyNumberFormat="1" applyFont="1" applyFill="1" applyBorder="1"/>
    <xf numFmtId="165" fontId="6" fillId="0" borderId="0" xfId="1" applyNumberFormat="1" applyFont="1" applyFill="1" applyBorder="1"/>
    <xf numFmtId="0" fontId="21" fillId="0" borderId="4" xfId="0" applyFont="1" applyBorder="1"/>
    <xf numFmtId="4" fontId="21" fillId="0" borderId="0" xfId="0" applyNumberFormat="1" applyFont="1"/>
    <xf numFmtId="164" fontId="21" fillId="0" borderId="0" xfId="0" applyNumberFormat="1" applyFont="1"/>
    <xf numFmtId="164" fontId="21" fillId="0" borderId="10" xfId="1" applyNumberFormat="1" applyFont="1" applyBorder="1"/>
    <xf numFmtId="43" fontId="21" fillId="0" borderId="0" xfId="1" applyFont="1" applyBorder="1" applyAlignment="1">
      <alignment horizontal="center"/>
    </xf>
    <xf numFmtId="165" fontId="0" fillId="0" borderId="5" xfId="0" applyNumberFormat="1" applyBorder="1"/>
    <xf numFmtId="0" fontId="25" fillId="0" borderId="0" xfId="0" applyFont="1"/>
    <xf numFmtId="43" fontId="0" fillId="3" borderId="0" xfId="1" applyFont="1" applyFill="1" applyBorder="1"/>
    <xf numFmtId="43" fontId="0" fillId="0" borderId="0" xfId="1" applyFont="1" applyBorder="1"/>
    <xf numFmtId="43" fontId="0" fillId="0" borderId="5" xfId="1" applyFont="1" applyBorder="1"/>
    <xf numFmtId="0" fontId="0" fillId="0" borderId="4" xfId="0" applyBorder="1"/>
    <xf numFmtId="4" fontId="0" fillId="0" borderId="0" xfId="0" applyNumberFormat="1"/>
    <xf numFmtId="165" fontId="0" fillId="0" borderId="0" xfId="1" applyNumberFormat="1" applyFont="1"/>
    <xf numFmtId="165" fontId="0" fillId="9" borderId="0" xfId="1" applyNumberFormat="1" applyFont="1" applyFill="1" applyBorder="1"/>
    <xf numFmtId="165" fontId="0" fillId="9" borderId="5" xfId="1" applyNumberFormat="1" applyFont="1" applyFill="1" applyBorder="1"/>
    <xf numFmtId="164" fontId="16" fillId="8" borderId="15" xfId="1" applyNumberFormat="1" applyFont="1" applyFill="1" applyBorder="1"/>
    <xf numFmtId="164" fontId="6" fillId="8" borderId="18" xfId="1" applyNumberFormat="1" applyFont="1" applyFill="1" applyBorder="1"/>
    <xf numFmtId="0" fontId="26" fillId="0" borderId="4" xfId="0" applyFont="1" applyBorder="1"/>
    <xf numFmtId="0" fontId="26" fillId="0" borderId="0" xfId="0" applyFont="1"/>
    <xf numFmtId="164" fontId="27" fillId="0" borderId="0" xfId="0" applyNumberFormat="1" applyFont="1"/>
    <xf numFmtId="0" fontId="15" fillId="0" borderId="4" xfId="0" applyFont="1" applyBorder="1"/>
    <xf numFmtId="43" fontId="15" fillId="0" borderId="0" xfId="0" applyNumberFormat="1" applyFont="1"/>
    <xf numFmtId="164" fontId="28" fillId="0" borderId="0" xfId="0" applyNumberFormat="1" applyFont="1"/>
    <xf numFmtId="164" fontId="15" fillId="0" borderId="10" xfId="1" applyNumberFormat="1" applyFont="1" applyFill="1" applyBorder="1"/>
    <xf numFmtId="164" fontId="15" fillId="0" borderId="10" xfId="1" applyNumberFormat="1" applyFont="1" applyBorder="1"/>
    <xf numFmtId="165" fontId="2" fillId="0" borderId="0" xfId="1" applyNumberFormat="1" applyFont="1"/>
    <xf numFmtId="0" fontId="29" fillId="0" borderId="4" xfId="0" applyFont="1" applyBorder="1" applyAlignment="1">
      <alignment wrapText="1"/>
    </xf>
    <xf numFmtId="0" fontId="30" fillId="0" borderId="0" xfId="0" applyFont="1"/>
    <xf numFmtId="0" fontId="6" fillId="8" borderId="14" xfId="0" applyFont="1" applyFill="1" applyBorder="1"/>
    <xf numFmtId="164" fontId="6" fillId="8" borderId="19" xfId="1" applyNumberFormat="1" applyFont="1" applyFill="1" applyBorder="1"/>
    <xf numFmtId="0" fontId="0" fillId="0" borderId="2" xfId="0" applyBorder="1"/>
    <xf numFmtId="43" fontId="0" fillId="0" borderId="2" xfId="0" applyNumberFormat="1" applyBorder="1"/>
    <xf numFmtId="165" fontId="0" fillId="0" borderId="2" xfId="0" applyNumberFormat="1" applyBorder="1"/>
    <xf numFmtId="164" fontId="5" fillId="0" borderId="2" xfId="0" applyNumberFormat="1" applyFont="1" applyBorder="1"/>
    <xf numFmtId="164" fontId="9" fillId="0" borderId="2" xfId="1" applyNumberFormat="1" applyFont="1" applyBorder="1"/>
    <xf numFmtId="165" fontId="9" fillId="0" borderId="0" xfId="1" applyNumberFormat="1" applyFont="1"/>
    <xf numFmtId="165" fontId="9" fillId="0" borderId="0" xfId="1" applyNumberFormat="1" applyFont="1" applyBorder="1"/>
    <xf numFmtId="165" fontId="9" fillId="0" borderId="0" xfId="1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164" fontId="14" fillId="4" borderId="0" xfId="0" applyNumberFormat="1" applyFont="1" applyFill="1"/>
    <xf numFmtId="1" fontId="6" fillId="6" borderId="0" xfId="1" applyNumberFormat="1" applyFont="1" applyFill="1" applyAlignment="1">
      <alignment horizontal="center"/>
    </xf>
    <xf numFmtId="1" fontId="6" fillId="6" borderId="0" xfId="1" applyNumberFormat="1" applyFont="1" applyFill="1" applyBorder="1" applyAlignment="1">
      <alignment horizontal="center"/>
    </xf>
    <xf numFmtId="1" fontId="6" fillId="0" borderId="0" xfId="1" applyNumberFormat="1" applyFont="1" applyFill="1" applyAlignment="1">
      <alignment horizontal="center"/>
    </xf>
    <xf numFmtId="0" fontId="0" fillId="0" borderId="1" xfId="0" applyBorder="1"/>
    <xf numFmtId="3" fontId="0" fillId="0" borderId="2" xfId="0" applyNumberFormat="1" applyBorder="1"/>
    <xf numFmtId="4" fontId="29" fillId="0" borderId="2" xfId="0" applyNumberFormat="1" applyFont="1" applyBorder="1" applyAlignment="1">
      <alignment wrapText="1"/>
    </xf>
    <xf numFmtId="164" fontId="31" fillId="0" borderId="2" xfId="0" applyNumberFormat="1" applyFont="1" applyBorder="1" applyAlignment="1">
      <alignment wrapText="1"/>
    </xf>
    <xf numFmtId="164" fontId="0" fillId="0" borderId="9" xfId="1" applyNumberFormat="1" applyFont="1" applyBorder="1"/>
    <xf numFmtId="165" fontId="0" fillId="0" borderId="2" xfId="1" applyNumberFormat="1" applyFont="1" applyBorder="1"/>
    <xf numFmtId="165" fontId="0" fillId="0" borderId="3" xfId="1" applyNumberFormat="1" applyFont="1" applyBorder="1"/>
    <xf numFmtId="3" fontId="0" fillId="0" borderId="0" xfId="0" applyNumberFormat="1"/>
    <xf numFmtId="4" fontId="29" fillId="0" borderId="0" xfId="0" applyNumberFormat="1" applyFont="1" applyAlignment="1">
      <alignment wrapText="1"/>
    </xf>
    <xf numFmtId="164" fontId="31" fillId="0" borderId="0" xfId="0" applyNumberFormat="1" applyFont="1" applyAlignment="1">
      <alignment wrapText="1"/>
    </xf>
    <xf numFmtId="3" fontId="15" fillId="0" borderId="0" xfId="0" applyNumberFormat="1" applyFont="1"/>
    <xf numFmtId="165" fontId="15" fillId="0" borderId="0" xfId="1" applyNumberFormat="1" applyFont="1" applyFill="1" applyBorder="1"/>
    <xf numFmtId="165" fontId="30" fillId="0" borderId="0" xfId="0" applyNumberFormat="1" applyFont="1"/>
    <xf numFmtId="0" fontId="15" fillId="0" borderId="6" xfId="0" applyFont="1" applyBorder="1"/>
    <xf numFmtId="3" fontId="15" fillId="0" borderId="7" xfId="0" applyNumberFormat="1" applyFont="1" applyBorder="1"/>
    <xf numFmtId="164" fontId="31" fillId="0" borderId="11" xfId="0" applyNumberFormat="1" applyFont="1" applyBorder="1" applyAlignment="1">
      <alignment wrapText="1"/>
    </xf>
    <xf numFmtId="164" fontId="15" fillId="0" borderId="12" xfId="1" applyNumberFormat="1" applyFont="1" applyFill="1" applyBorder="1"/>
    <xf numFmtId="165" fontId="15" fillId="0" borderId="7" xfId="1" applyNumberFormat="1" applyFont="1" applyFill="1" applyBorder="1"/>
    <xf numFmtId="165" fontId="15" fillId="0" borderId="7" xfId="1" applyNumberFormat="1" applyFont="1" applyBorder="1"/>
    <xf numFmtId="165" fontId="15" fillId="0" borderId="8" xfId="1" applyNumberFormat="1" applyFont="1" applyBorder="1"/>
    <xf numFmtId="3" fontId="26" fillId="0" borderId="0" xfId="0" applyNumberFormat="1" applyFont="1"/>
    <xf numFmtId="164" fontId="32" fillId="0" borderId="0" xfId="0" applyNumberFormat="1" applyFont="1" applyAlignment="1">
      <alignment wrapText="1"/>
    </xf>
    <xf numFmtId="164" fontId="26" fillId="0" borderId="10" xfId="1" applyNumberFormat="1" applyFont="1" applyFill="1" applyBorder="1"/>
    <xf numFmtId="165" fontId="26" fillId="0" borderId="0" xfId="1" applyNumberFormat="1" applyFont="1" applyFill="1" applyBorder="1"/>
    <xf numFmtId="165" fontId="26" fillId="0" borderId="0" xfId="1" applyNumberFormat="1" applyFont="1" applyBorder="1"/>
    <xf numFmtId="165" fontId="26" fillId="0" borderId="5" xfId="1" applyNumberFormat="1" applyFont="1" applyBorder="1"/>
    <xf numFmtId="6" fontId="29" fillId="0" borderId="0" xfId="0" applyNumberFormat="1" applyFont="1" applyAlignment="1">
      <alignment wrapText="1"/>
    </xf>
    <xf numFmtId="165" fontId="15" fillId="0" borderId="0" xfId="1" applyNumberFormat="1" applyFont="1" applyBorder="1"/>
    <xf numFmtId="6" fontId="29" fillId="0" borderId="20" xfId="0" applyNumberFormat="1" applyFont="1" applyBorder="1" applyAlignment="1">
      <alignment wrapText="1"/>
    </xf>
    <xf numFmtId="4" fontId="29" fillId="0" borderId="20" xfId="0" applyNumberFormat="1" applyFont="1" applyBorder="1" applyAlignment="1">
      <alignment wrapText="1"/>
    </xf>
    <xf numFmtId="164" fontId="15" fillId="0" borderId="12" xfId="1" applyNumberFormat="1" applyFont="1" applyBorder="1"/>
    <xf numFmtId="8" fontId="29" fillId="0" borderId="0" xfId="0" applyNumberFormat="1" applyFont="1" applyAlignment="1">
      <alignment wrapText="1"/>
    </xf>
    <xf numFmtId="0" fontId="33" fillId="0" borderId="4" xfId="0" applyFont="1" applyBorder="1"/>
    <xf numFmtId="8" fontId="34" fillId="10" borderId="0" xfId="0" applyNumberFormat="1" applyFont="1" applyFill="1" applyAlignment="1">
      <alignment wrapText="1"/>
    </xf>
    <xf numFmtId="4" fontId="34" fillId="10" borderId="0" xfId="0" applyNumberFormat="1" applyFont="1" applyFill="1" applyAlignment="1">
      <alignment wrapText="1"/>
    </xf>
    <xf numFmtId="164" fontId="34" fillId="10" borderId="0" xfId="0" applyNumberFormat="1" applyFont="1" applyFill="1" applyAlignment="1">
      <alignment wrapText="1"/>
    </xf>
    <xf numFmtId="164" fontId="33" fillId="0" borderId="10" xfId="1" applyNumberFormat="1" applyFont="1" applyBorder="1"/>
    <xf numFmtId="165" fontId="33" fillId="0" borderId="0" xfId="1" applyNumberFormat="1" applyFont="1" applyBorder="1"/>
    <xf numFmtId="165" fontId="33" fillId="0" borderId="5" xfId="1" applyNumberFormat="1" applyFont="1" applyBorder="1"/>
    <xf numFmtId="0" fontId="33" fillId="0" borderId="0" xfId="0" applyFont="1"/>
    <xf numFmtId="165" fontId="33" fillId="0" borderId="0" xfId="0" applyNumberFormat="1" applyFont="1"/>
    <xf numFmtId="9" fontId="0" fillId="0" borderId="0" xfId="0" applyNumberFormat="1"/>
    <xf numFmtId="0" fontId="0" fillId="0" borderId="21" xfId="0" applyBorder="1"/>
    <xf numFmtId="8" fontId="29" fillId="0" borderId="20" xfId="0" applyNumberFormat="1" applyFont="1" applyBorder="1" applyAlignment="1">
      <alignment wrapText="1"/>
    </xf>
    <xf numFmtId="164" fontId="15" fillId="0" borderId="22" xfId="1" applyNumberFormat="1" applyFont="1" applyBorder="1"/>
    <xf numFmtId="165" fontId="0" fillId="0" borderId="11" xfId="1" applyNumberFormat="1" applyFont="1" applyBorder="1"/>
    <xf numFmtId="165" fontId="0" fillId="0" borderId="23" xfId="1" applyNumberFormat="1" applyFont="1" applyBorder="1"/>
    <xf numFmtId="165" fontId="0" fillId="0" borderId="0" xfId="3" applyNumberFormat="1" applyFont="1"/>
    <xf numFmtId="164" fontId="6" fillId="0" borderId="0" xfId="1" applyNumberFormat="1" applyFont="1" applyBorder="1"/>
    <xf numFmtId="165" fontId="6" fillId="0" borderId="5" xfId="1" applyNumberFormat="1" applyFont="1" applyFill="1" applyBorder="1"/>
    <xf numFmtId="165" fontId="6" fillId="0" borderId="5" xfId="1" applyNumberFormat="1" applyFont="1" applyBorder="1"/>
    <xf numFmtId="165" fontId="0" fillId="0" borderId="0" xfId="1" applyNumberFormat="1" applyFont="1" applyBorder="1" applyAlignment="1">
      <alignment horizontal="center"/>
    </xf>
    <xf numFmtId="0" fontId="0" fillId="0" borderId="14" xfId="0" applyBorder="1"/>
    <xf numFmtId="165" fontId="6" fillId="0" borderId="16" xfId="1" applyNumberFormat="1" applyFont="1" applyBorder="1"/>
    <xf numFmtId="164" fontId="6" fillId="0" borderId="15" xfId="1" applyNumberFormat="1" applyFont="1" applyBorder="1"/>
    <xf numFmtId="164" fontId="6" fillId="0" borderId="18" xfId="1" applyNumberFormat="1" applyFont="1" applyBorder="1"/>
    <xf numFmtId="165" fontId="6" fillId="0" borderId="17" xfId="1" applyNumberFormat="1" applyFont="1" applyBorder="1"/>
    <xf numFmtId="164" fontId="35" fillId="0" borderId="10" xfId="1" applyNumberFormat="1" applyFont="1" applyBorder="1" applyAlignment="1">
      <alignment horizontal="center"/>
    </xf>
    <xf numFmtId="165" fontId="35" fillId="0" borderId="0" xfId="1" applyNumberFormat="1" applyFont="1" applyBorder="1" applyAlignment="1">
      <alignment horizontal="center"/>
    </xf>
    <xf numFmtId="165" fontId="35" fillId="0" borderId="5" xfId="1" applyNumberFormat="1" applyFont="1" applyBorder="1" applyAlignment="1">
      <alignment horizontal="center"/>
    </xf>
    <xf numFmtId="44" fontId="0" fillId="0" borderId="0" xfId="2" applyFont="1"/>
    <xf numFmtId="38" fontId="6" fillId="0" borderId="0" xfId="1" applyNumberFormat="1" applyFont="1" applyBorder="1" applyAlignment="1">
      <alignment horizontal="center"/>
    </xf>
    <xf numFmtId="164" fontId="6" fillId="0" borderId="0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42" fontId="6" fillId="0" borderId="0" xfId="1" applyNumberFormat="1" applyFont="1" applyBorder="1" applyAlignment="1">
      <alignment horizontal="center"/>
    </xf>
    <xf numFmtId="42" fontId="6" fillId="0" borderId="5" xfId="1" applyNumberFormat="1" applyFont="1" applyBorder="1" applyAlignment="1">
      <alignment horizontal="center"/>
    </xf>
    <xf numFmtId="164" fontId="6" fillId="0" borderId="0" xfId="3" applyNumberFormat="1" applyFont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3" fontId="6" fillId="0" borderId="0" xfId="0" applyNumberFormat="1" applyFont="1"/>
    <xf numFmtId="0" fontId="6" fillId="0" borderId="14" xfId="0" applyFont="1" applyBorder="1"/>
    <xf numFmtId="165" fontId="6" fillId="0" borderId="16" xfId="1" applyNumberFormat="1" applyFont="1" applyBorder="1" applyAlignment="1">
      <alignment horizontal="center"/>
    </xf>
    <xf numFmtId="164" fontId="6" fillId="0" borderId="15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5" fontId="6" fillId="0" borderId="17" xfId="1" applyNumberFormat="1" applyFont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0" fontId="6" fillId="0" borderId="0" xfId="3" applyNumberFormat="1" applyFont="1" applyBorder="1" applyAlignment="1">
      <alignment horizontal="center"/>
    </xf>
    <xf numFmtId="167" fontId="6" fillId="0" borderId="0" xfId="3" applyNumberFormat="1" applyFont="1" applyBorder="1" applyAlignment="1">
      <alignment horizontal="right"/>
    </xf>
    <xf numFmtId="10" fontId="6" fillId="0" borderId="0" xfId="3" applyNumberFormat="1" applyFont="1" applyBorder="1" applyAlignment="1">
      <alignment horizontal="right"/>
    </xf>
    <xf numFmtId="10" fontId="6" fillId="0" borderId="5" xfId="3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6" fillId="0" borderId="0" xfId="1" applyNumberFormat="1" applyFont="1" applyAlignment="1">
      <alignment horizontal="center"/>
    </xf>
    <xf numFmtId="10" fontId="6" fillId="0" borderId="0" xfId="3" applyNumberFormat="1" applyFont="1" applyAlignment="1">
      <alignment horizontal="center"/>
    </xf>
    <xf numFmtId="165" fontId="6" fillId="0" borderId="4" xfId="0" applyNumberFormat="1" applyFont="1" applyBorder="1"/>
    <xf numFmtId="10" fontId="6" fillId="0" borderId="0" xfId="3" applyNumberFormat="1" applyFont="1" applyFill="1" applyBorder="1" applyAlignment="1">
      <alignment horizontal="center"/>
    </xf>
    <xf numFmtId="10" fontId="6" fillId="0" borderId="5" xfId="3" applyNumberFormat="1" applyFont="1" applyFill="1" applyBorder="1" applyAlignment="1">
      <alignment horizontal="center"/>
    </xf>
    <xf numFmtId="2" fontId="0" fillId="0" borderId="0" xfId="0" applyNumberFormat="1"/>
    <xf numFmtId="43" fontId="6" fillId="0" borderId="0" xfId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10" fontId="6" fillId="0" borderId="7" xfId="3" applyNumberFormat="1" applyFont="1" applyBorder="1" applyAlignment="1">
      <alignment horizontal="center"/>
    </xf>
    <xf numFmtId="10" fontId="6" fillId="0" borderId="8" xfId="3" applyNumberFormat="1" applyFont="1" applyBorder="1" applyAlignment="1">
      <alignment horizontal="center"/>
    </xf>
    <xf numFmtId="164" fontId="0" fillId="0" borderId="0" xfId="1" applyNumberFormat="1" applyFont="1" applyBorder="1"/>
    <xf numFmtId="0" fontId="0" fillId="0" borderId="5" xfId="0" applyBorder="1"/>
    <xf numFmtId="164" fontId="0" fillId="3" borderId="0" xfId="1" applyNumberFormat="1" applyFont="1" applyFill="1" applyBorder="1"/>
    <xf numFmtId="164" fontId="0" fillId="0" borderId="5" xfId="1" applyNumberFormat="1" applyFont="1" applyBorder="1"/>
    <xf numFmtId="0" fontId="0" fillId="0" borderId="6" xfId="0" applyBorder="1"/>
    <xf numFmtId="164" fontId="5" fillId="0" borderId="7" xfId="0" applyNumberFormat="1" applyFont="1" applyBorder="1"/>
    <xf numFmtId="10" fontId="6" fillId="0" borderId="7" xfId="3" applyNumberFormat="1" applyFont="1" applyBorder="1" applyAlignment="1">
      <alignment horizontal="right"/>
    </xf>
    <xf numFmtId="10" fontId="6" fillId="3" borderId="7" xfId="3" applyNumberFormat="1" applyFont="1" applyFill="1" applyBorder="1" applyAlignment="1">
      <alignment horizontal="right"/>
    </xf>
    <xf numFmtId="10" fontId="6" fillId="0" borderId="8" xfId="3" applyNumberFormat="1" applyFont="1" applyBorder="1" applyAlignment="1">
      <alignment horizontal="right"/>
    </xf>
    <xf numFmtId="164" fontId="6" fillId="0" borderId="0" xfId="1" applyNumberFormat="1" applyFont="1"/>
    <xf numFmtId="43" fontId="0" fillId="3" borderId="0" xfId="1" applyFont="1" applyFill="1"/>
    <xf numFmtId="43" fontId="6" fillId="0" borderId="0" xfId="1" applyFont="1"/>
    <xf numFmtId="10" fontId="6" fillId="0" borderId="0" xfId="3" applyNumberFormat="1" applyFont="1"/>
    <xf numFmtId="0" fontId="6" fillId="11" borderId="24" xfId="0" applyFont="1" applyFill="1" applyBorder="1"/>
    <xf numFmtId="0" fontId="0" fillId="11" borderId="25" xfId="0" applyFill="1" applyBorder="1"/>
    <xf numFmtId="164" fontId="5" fillId="11" borderId="25" xfId="0" applyNumberFormat="1" applyFont="1" applyFill="1" applyBorder="1"/>
    <xf numFmtId="164" fontId="0" fillId="11" borderId="25" xfId="1" applyNumberFormat="1" applyFont="1" applyFill="1" applyBorder="1"/>
    <xf numFmtId="43" fontId="0" fillId="3" borderId="25" xfId="1" applyFont="1" applyFill="1" applyBorder="1"/>
    <xf numFmtId="43" fontId="0" fillId="11" borderId="25" xfId="1" applyFont="1" applyFill="1" applyBorder="1"/>
    <xf numFmtId="0" fontId="0" fillId="11" borderId="26" xfId="0" applyFill="1" applyBorder="1"/>
    <xf numFmtId="0" fontId="0" fillId="0" borderId="27" xfId="0" applyBorder="1"/>
    <xf numFmtId="0" fontId="0" fillId="0" borderId="28" xfId="0" applyBorder="1"/>
    <xf numFmtId="164" fontId="5" fillId="0" borderId="28" xfId="0" applyNumberFormat="1" applyFont="1" applyBorder="1"/>
    <xf numFmtId="164" fontId="0" fillId="0" borderId="28" xfId="1" applyNumberFormat="1" applyFont="1" applyBorder="1"/>
    <xf numFmtId="43" fontId="0" fillId="3" borderId="28" xfId="1" applyFont="1" applyFill="1" applyBorder="1"/>
    <xf numFmtId="43" fontId="0" fillId="0" borderId="28" xfId="1" applyFont="1" applyBorder="1"/>
    <xf numFmtId="43" fontId="0" fillId="0" borderId="29" xfId="1" applyFont="1" applyBorder="1"/>
    <xf numFmtId="43" fontId="0" fillId="0" borderId="0" xfId="1" applyFont="1" applyFill="1" applyBorder="1"/>
    <xf numFmtId="0" fontId="0" fillId="0" borderId="30" xfId="0" applyBorder="1"/>
    <xf numFmtId="0" fontId="0" fillId="0" borderId="31" xfId="0" applyBorder="1"/>
    <xf numFmtId="164" fontId="5" fillId="0" borderId="31" xfId="0" applyNumberFormat="1" applyFont="1" applyBorder="1"/>
    <xf numFmtId="164" fontId="0" fillId="0" borderId="31" xfId="1" applyNumberFormat="1" applyFont="1" applyBorder="1"/>
    <xf numFmtId="43" fontId="0" fillId="3" borderId="31" xfId="1" applyFont="1" applyFill="1" applyBorder="1"/>
    <xf numFmtId="43" fontId="0" fillId="0" borderId="31" xfId="1" applyFont="1" applyBorder="1"/>
    <xf numFmtId="43" fontId="0" fillId="0" borderId="32" xfId="1" applyFont="1" applyBorder="1"/>
    <xf numFmtId="43" fontId="0" fillId="0" borderId="32" xfId="0" applyNumberFormat="1" applyBorder="1"/>
    <xf numFmtId="0" fontId="6" fillId="0" borderId="30" xfId="0" applyFont="1" applyBorder="1"/>
    <xf numFmtId="0" fontId="6" fillId="0" borderId="31" xfId="0" applyFont="1" applyBorder="1"/>
    <xf numFmtId="164" fontId="6" fillId="0" borderId="31" xfId="1" applyNumberFormat="1" applyFont="1" applyBorder="1"/>
    <xf numFmtId="43" fontId="6" fillId="3" borderId="31" xfId="1" applyFont="1" applyFill="1" applyBorder="1"/>
    <xf numFmtId="43" fontId="6" fillId="0" borderId="31" xfId="1" applyFont="1" applyBorder="1"/>
    <xf numFmtId="43" fontId="6" fillId="0" borderId="32" xfId="1" applyFont="1" applyBorder="1"/>
    <xf numFmtId="43" fontId="6" fillId="0" borderId="0" xfId="1" applyFont="1" applyFill="1" applyBorder="1"/>
    <xf numFmtId="0" fontId="0" fillId="0" borderId="32" xfId="0" applyBorder="1"/>
    <xf numFmtId="164" fontId="16" fillId="0" borderId="31" xfId="0" applyNumberFormat="1" applyFont="1" applyBorder="1"/>
    <xf numFmtId="164" fontId="5" fillId="0" borderId="33" xfId="0" applyNumberFormat="1" applyFont="1" applyBorder="1"/>
    <xf numFmtId="164" fontId="5" fillId="12" borderId="34" xfId="0" applyNumberFormat="1" applyFont="1" applyFill="1" applyBorder="1"/>
    <xf numFmtId="164" fontId="5" fillId="0" borderId="35" xfId="0" applyNumberFormat="1" applyFont="1" applyBorder="1"/>
    <xf numFmtId="0" fontId="6" fillId="0" borderId="32" xfId="0" applyFont="1" applyBorder="1"/>
    <xf numFmtId="0" fontId="0" fillId="0" borderId="36" xfId="0" applyBorder="1"/>
    <xf numFmtId="0" fontId="0" fillId="0" borderId="37" xfId="0" applyBorder="1"/>
    <xf numFmtId="164" fontId="5" fillId="0" borderId="37" xfId="0" applyNumberFormat="1" applyFont="1" applyBorder="1"/>
    <xf numFmtId="164" fontId="6" fillId="0" borderId="37" xfId="1" applyNumberFormat="1" applyFont="1" applyBorder="1"/>
    <xf numFmtId="43" fontId="6" fillId="3" borderId="37" xfId="1" applyFont="1" applyFill="1" applyBorder="1"/>
    <xf numFmtId="43" fontId="6" fillId="0" borderId="37" xfId="1" applyFont="1" applyBorder="1"/>
    <xf numFmtId="43" fontId="6" fillId="7" borderId="38" xfId="1" applyFont="1" applyFill="1" applyBorder="1"/>
    <xf numFmtId="0" fontId="6" fillId="11" borderId="27" xfId="0" applyFont="1" applyFill="1" applyBorder="1"/>
    <xf numFmtId="0" fontId="0" fillId="11" borderId="28" xfId="0" applyFill="1" applyBorder="1"/>
    <xf numFmtId="164" fontId="5" fillId="11" borderId="28" xfId="0" applyNumberFormat="1" applyFont="1" applyFill="1" applyBorder="1"/>
    <xf numFmtId="164" fontId="0" fillId="11" borderId="28" xfId="1" applyNumberFormat="1" applyFont="1" applyFill="1" applyBorder="1"/>
    <xf numFmtId="43" fontId="0" fillId="11" borderId="28" xfId="1" applyFont="1" applyFill="1" applyBorder="1"/>
    <xf numFmtId="0" fontId="0" fillId="11" borderId="29" xfId="0" applyFill="1" applyBorder="1"/>
    <xf numFmtId="43" fontId="6" fillId="0" borderId="38" xfId="1" applyFont="1" applyBorder="1"/>
    <xf numFmtId="10" fontId="2" fillId="0" borderId="0" xfId="3" applyNumberFormat="1" applyFont="1" applyBorder="1" applyAlignment="1">
      <alignment horizontal="right"/>
    </xf>
    <xf numFmtId="10" fontId="2" fillId="0" borderId="0" xfId="3" applyNumberFormat="1" applyFont="1" applyBorder="1" applyAlignment="1">
      <alignment horizontal="center"/>
    </xf>
    <xf numFmtId="10" fontId="2" fillId="0" borderId="7" xfId="3" applyNumberFormat="1" applyFont="1" applyBorder="1" applyAlignment="1">
      <alignment horizontal="center"/>
    </xf>
    <xf numFmtId="164" fontId="3" fillId="0" borderId="0" xfId="1" applyNumberFormat="1" applyFont="1" applyBorder="1"/>
    <xf numFmtId="10" fontId="2" fillId="0" borderId="7" xfId="3" applyNumberFormat="1" applyFont="1" applyBorder="1" applyAlignment="1">
      <alignment horizontal="right"/>
    </xf>
    <xf numFmtId="10" fontId="9" fillId="0" borderId="33" xfId="3" applyNumberFormat="1" applyFont="1" applyFill="1" applyBorder="1"/>
    <xf numFmtId="0" fontId="0" fillId="0" borderId="39" xfId="0" applyBorder="1"/>
    <xf numFmtId="164" fontId="11" fillId="0" borderId="39" xfId="4" applyNumberFormat="1" applyFont="1" applyFill="1" applyBorder="1"/>
    <xf numFmtId="164" fontId="9" fillId="0" borderId="35" xfId="4" applyNumberFormat="1" applyFont="1" applyFill="1" applyBorder="1"/>
    <xf numFmtId="165" fontId="6" fillId="0" borderId="33" xfId="1" applyNumberFormat="1" applyFont="1" applyBorder="1" applyAlignment="1">
      <alignment horizontal="center"/>
    </xf>
    <xf numFmtId="10" fontId="6" fillId="0" borderId="39" xfId="3" applyNumberFormat="1" applyFont="1" applyBorder="1" applyAlignment="1">
      <alignment horizontal="right"/>
    </xf>
    <xf numFmtId="10" fontId="6" fillId="0" borderId="39" xfId="3" applyNumberFormat="1" applyFont="1" applyBorder="1" applyAlignment="1">
      <alignment horizontal="center"/>
    </xf>
    <xf numFmtId="10" fontId="6" fillId="0" borderId="35" xfId="3" applyNumberFormat="1" applyFont="1" applyBorder="1" applyAlignment="1">
      <alignment horizontal="center"/>
    </xf>
    <xf numFmtId="165" fontId="6" fillId="0" borderId="2" xfId="1" applyNumberFormat="1" applyFont="1" applyBorder="1" applyAlignment="1">
      <alignment horizontal="center"/>
    </xf>
    <xf numFmtId="164" fontId="0" fillId="0" borderId="0" xfId="0" applyNumberFormat="1"/>
    <xf numFmtId="164" fontId="2" fillId="0" borderId="10" xfId="1" applyNumberFormat="1" applyFont="1" applyBorder="1" applyAlignment="1">
      <alignment horizontal="center"/>
    </xf>
    <xf numFmtId="164" fontId="2" fillId="0" borderId="18" xfId="1" applyNumberFormat="1" applyFont="1" applyBorder="1" applyAlignment="1">
      <alignment horizontal="center"/>
    </xf>
    <xf numFmtId="9" fontId="6" fillId="8" borderId="12" xfId="3" applyFont="1" applyFill="1" applyBorder="1"/>
    <xf numFmtId="9" fontId="6" fillId="8" borderId="18" xfId="3" applyFont="1" applyFill="1" applyBorder="1"/>
    <xf numFmtId="9" fontId="0" fillId="0" borderId="10" xfId="3" applyFont="1" applyBorder="1"/>
    <xf numFmtId="9" fontId="15" fillId="0" borderId="10" xfId="3" applyFont="1" applyBorder="1"/>
    <xf numFmtId="9" fontId="0" fillId="0" borderId="9" xfId="3" applyFont="1" applyBorder="1"/>
    <xf numFmtId="9" fontId="0" fillId="0" borderId="10" xfId="1" applyNumberFormat="1" applyFont="1" applyBorder="1"/>
    <xf numFmtId="9" fontId="15" fillId="0" borderId="10" xfId="1" applyNumberFormat="1" applyFont="1" applyFill="1" applyBorder="1"/>
    <xf numFmtId="9" fontId="15" fillId="0" borderId="12" xfId="1" applyNumberFormat="1" applyFont="1" applyFill="1" applyBorder="1"/>
    <xf numFmtId="9" fontId="26" fillId="0" borderId="10" xfId="1" applyNumberFormat="1" applyFont="1" applyFill="1" applyBorder="1"/>
    <xf numFmtId="9" fontId="15" fillId="0" borderId="10" xfId="1" applyNumberFormat="1" applyFont="1" applyBorder="1"/>
    <xf numFmtId="9" fontId="15" fillId="0" borderId="12" xfId="1" applyNumberFormat="1" applyFont="1" applyBorder="1"/>
    <xf numFmtId="9" fontId="0" fillId="0" borderId="10" xfId="1" applyNumberFormat="1" applyFont="1" applyFill="1" applyBorder="1"/>
    <xf numFmtId="9" fontId="33" fillId="0" borderId="10" xfId="1" applyNumberFormat="1" applyFont="1" applyBorder="1"/>
    <xf numFmtId="9" fontId="15" fillId="0" borderId="22" xfId="1" applyNumberFormat="1" applyFont="1" applyBorder="1"/>
    <xf numFmtId="9" fontId="6" fillId="0" borderId="10" xfId="1" applyNumberFormat="1" applyFont="1" applyBorder="1"/>
    <xf numFmtId="9" fontId="0" fillId="0" borderId="10" xfId="3" applyFont="1" applyFill="1" applyBorder="1"/>
    <xf numFmtId="9" fontId="6" fillId="0" borderId="18" xfId="3" applyFont="1" applyBorder="1"/>
    <xf numFmtId="9" fontId="6" fillId="8" borderId="18" xfId="1" applyNumberFormat="1" applyFont="1" applyFill="1" applyBorder="1"/>
    <xf numFmtId="9" fontId="7" fillId="0" borderId="7" xfId="3" applyFont="1" applyFill="1" applyBorder="1" applyAlignment="1">
      <alignment horizontal="center"/>
    </xf>
    <xf numFmtId="164" fontId="36" fillId="0" borderId="0" xfId="4" applyNumberFormat="1" applyFont="1" applyFill="1" applyBorder="1"/>
    <xf numFmtId="0" fontId="37" fillId="0" borderId="0" xfId="0" applyFont="1"/>
    <xf numFmtId="10" fontId="37" fillId="0" borderId="0" xfId="3" applyNumberFormat="1" applyFont="1"/>
    <xf numFmtId="0" fontId="0" fillId="0" borderId="0" xfId="0" applyAlignment="1">
      <alignment vertical="center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left" vertical="center" indent="5"/>
    </xf>
    <xf numFmtId="0" fontId="47" fillId="0" borderId="0" xfId="0" applyFont="1" applyAlignment="1">
      <alignment vertical="center"/>
    </xf>
    <xf numFmtId="0" fontId="0" fillId="0" borderId="0" xfId="0" applyAlignment="1">
      <alignment horizontal="left" vertical="center" indent="5"/>
    </xf>
    <xf numFmtId="0" fontId="0" fillId="0" borderId="0" xfId="0" applyAlignment="1">
      <alignment horizontal="left" vertical="center" indent="10"/>
    </xf>
    <xf numFmtId="0" fontId="47" fillId="0" borderId="0" xfId="0" applyFont="1" applyAlignment="1">
      <alignment horizontal="left" vertical="center" indent="5"/>
    </xf>
    <xf numFmtId="0" fontId="48" fillId="0" borderId="0" xfId="0" applyFont="1" applyAlignment="1">
      <alignment horizontal="left" vertical="center" indent="5"/>
    </xf>
    <xf numFmtId="0" fontId="40" fillId="8" borderId="0" xfId="0" applyFont="1" applyFill="1" applyAlignment="1">
      <alignment vertical="center"/>
    </xf>
    <xf numFmtId="0" fontId="41" fillId="8" borderId="0" xfId="0" applyFont="1" applyFill="1" applyAlignment="1">
      <alignment vertical="center"/>
    </xf>
    <xf numFmtId="0" fontId="42" fillId="8" borderId="0" xfId="0" applyFont="1" applyFill="1" applyAlignment="1">
      <alignment vertical="center"/>
    </xf>
    <xf numFmtId="0" fontId="0" fillId="8" borderId="0" xfId="0" applyFill="1" applyAlignment="1">
      <alignment horizontal="left" vertical="center" indent="10"/>
    </xf>
    <xf numFmtId="164" fontId="37" fillId="0" borderId="0" xfId="0" applyNumberFormat="1" applyFont="1"/>
    <xf numFmtId="0" fontId="49" fillId="0" borderId="0" xfId="0" applyFont="1"/>
    <xf numFmtId="0" fontId="49" fillId="0" borderId="0" xfId="0" applyFont="1" applyAlignment="1">
      <alignment horizontal="right"/>
    </xf>
    <xf numFmtId="10" fontId="49" fillId="8" borderId="0" xfId="3" applyNumberFormat="1" applyFont="1" applyFill="1"/>
    <xf numFmtId="164" fontId="49" fillId="8" borderId="0" xfId="0" applyNumberFormat="1" applyFont="1" applyFill="1"/>
    <xf numFmtId="43" fontId="37" fillId="0" borderId="0" xfId="1" applyFont="1"/>
    <xf numFmtId="0" fontId="50" fillId="0" borderId="0" xfId="0" applyFont="1" applyAlignment="1">
      <alignment horizontal="left"/>
    </xf>
    <xf numFmtId="164" fontId="51" fillId="0" borderId="0" xfId="0" applyNumberFormat="1" applyFont="1"/>
    <xf numFmtId="0" fontId="52" fillId="0" borderId="0" xfId="0" applyFont="1"/>
    <xf numFmtId="164" fontId="6" fillId="5" borderId="40" xfId="1" applyNumberFormat="1" applyFont="1" applyFill="1" applyBorder="1" applyAlignment="1">
      <alignment horizontal="center" wrapText="1"/>
    </xf>
    <xf numFmtId="164" fontId="6" fillId="0" borderId="41" xfId="0" applyNumberFormat="1" applyFont="1" applyBorder="1"/>
    <xf numFmtId="164" fontId="0" fillId="0" borderId="41" xfId="1" applyNumberFormat="1" applyFont="1" applyFill="1" applyBorder="1"/>
    <xf numFmtId="164" fontId="0" fillId="0" borderId="42" xfId="1" applyNumberFormat="1" applyFont="1" applyFill="1" applyBorder="1"/>
    <xf numFmtId="164" fontId="6" fillId="0" borderId="41" xfId="1" applyNumberFormat="1" applyFont="1" applyBorder="1"/>
    <xf numFmtId="164" fontId="20" fillId="0" borderId="41" xfId="1" applyNumberFormat="1" applyFont="1" applyBorder="1"/>
    <xf numFmtId="164" fontId="20" fillId="7" borderId="42" xfId="1" applyNumberFormat="1" applyFont="1" applyFill="1" applyBorder="1"/>
    <xf numFmtId="164" fontId="6" fillId="8" borderId="42" xfId="1" applyNumberFormat="1" applyFont="1" applyFill="1" applyBorder="1"/>
    <xf numFmtId="164" fontId="21" fillId="0" borderId="41" xfId="1" applyNumberFormat="1" applyFont="1" applyBorder="1"/>
    <xf numFmtId="164" fontId="0" fillId="0" borderId="41" xfId="1" applyNumberFormat="1" applyFont="1" applyBorder="1"/>
    <xf numFmtId="164" fontId="6" fillId="8" borderId="43" xfId="1" applyNumberFormat="1" applyFont="1" applyFill="1" applyBorder="1"/>
    <xf numFmtId="164" fontId="15" fillId="0" borderId="41" xfId="1" applyNumberFormat="1" applyFont="1" applyFill="1" applyBorder="1"/>
    <xf numFmtId="164" fontId="0" fillId="0" borderId="40" xfId="1" applyNumberFormat="1" applyFont="1" applyBorder="1"/>
    <xf numFmtId="164" fontId="15" fillId="0" borderId="42" xfId="1" applyNumberFormat="1" applyFont="1" applyFill="1" applyBorder="1"/>
    <xf numFmtId="164" fontId="26" fillId="0" borderId="41" xfId="1" applyNumberFormat="1" applyFont="1" applyFill="1" applyBorder="1"/>
    <xf numFmtId="164" fontId="15" fillId="0" borderId="41" xfId="1" applyNumberFormat="1" applyFont="1" applyBorder="1"/>
    <xf numFmtId="164" fontId="15" fillId="0" borderId="42" xfId="1" applyNumberFormat="1" applyFont="1" applyBorder="1"/>
    <xf numFmtId="164" fontId="33" fillId="0" borderId="41" xfId="1" applyNumberFormat="1" applyFont="1" applyBorder="1"/>
    <xf numFmtId="164" fontId="15" fillId="0" borderId="44" xfId="1" applyNumberFormat="1" applyFont="1" applyBorder="1"/>
    <xf numFmtId="164" fontId="6" fillId="0" borderId="43" xfId="1" applyNumberFormat="1" applyFont="1" applyBorder="1"/>
    <xf numFmtId="164" fontId="35" fillId="0" borderId="41" xfId="1" applyNumberFormat="1" applyFont="1" applyBorder="1" applyAlignment="1">
      <alignment horizontal="center"/>
    </xf>
    <xf numFmtId="164" fontId="6" fillId="0" borderId="41" xfId="1" applyNumberFormat="1" applyFont="1" applyBorder="1" applyAlignment="1">
      <alignment horizontal="center"/>
    </xf>
    <xf numFmtId="164" fontId="6" fillId="0" borderId="43" xfId="1" applyNumberFormat="1" applyFont="1" applyBorder="1" applyAlignment="1">
      <alignment horizontal="center"/>
    </xf>
    <xf numFmtId="10" fontId="9" fillId="3" borderId="3" xfId="3" applyNumberFormat="1" applyFont="1" applyFill="1" applyBorder="1"/>
    <xf numFmtId="164" fontId="9" fillId="3" borderId="5" xfId="4" applyNumberFormat="1" applyFont="1" applyFill="1" applyBorder="1"/>
    <xf numFmtId="164" fontId="36" fillId="3" borderId="5" xfId="4" applyNumberFormat="1" applyFont="1" applyFill="1" applyBorder="1"/>
    <xf numFmtId="164" fontId="11" fillId="3" borderId="5" xfId="4" applyNumberFormat="1" applyFont="1" applyFill="1" applyBorder="1"/>
    <xf numFmtId="164" fontId="11" fillId="3" borderId="8" xfId="4" applyNumberFormat="1" applyFont="1" applyFill="1" applyBorder="1"/>
    <xf numFmtId="1" fontId="6" fillId="3" borderId="3" xfId="1" applyNumberFormat="1" applyFont="1" applyFill="1" applyBorder="1" applyAlignment="1">
      <alignment horizontal="center" wrapText="1"/>
    </xf>
    <xf numFmtId="0" fontId="6" fillId="3" borderId="5" xfId="0" applyFont="1" applyFill="1" applyBorder="1"/>
    <xf numFmtId="165" fontId="0" fillId="3" borderId="5" xfId="1" applyNumberFormat="1" applyFont="1" applyFill="1" applyBorder="1"/>
    <xf numFmtId="165" fontId="0" fillId="3" borderId="8" xfId="1" applyNumberFormat="1" applyFont="1" applyFill="1" applyBorder="1"/>
    <xf numFmtId="165" fontId="6" fillId="3" borderId="5" xfId="1" applyNumberFormat="1" applyFont="1" applyFill="1" applyBorder="1"/>
    <xf numFmtId="165" fontId="20" fillId="3" borderId="5" xfId="1" applyNumberFormat="1" applyFont="1" applyFill="1" applyBorder="1"/>
    <xf numFmtId="165" fontId="21" fillId="3" borderId="5" xfId="1" applyNumberFormat="1" applyFont="1" applyFill="1" applyBorder="1" applyAlignment="1">
      <alignment horizontal="center"/>
    </xf>
    <xf numFmtId="165" fontId="20" fillId="3" borderId="8" xfId="1" applyNumberFormat="1" applyFont="1" applyFill="1" applyBorder="1"/>
    <xf numFmtId="165" fontId="6" fillId="3" borderId="8" xfId="1" applyNumberFormat="1" applyFont="1" applyFill="1" applyBorder="1"/>
    <xf numFmtId="43" fontId="21" fillId="3" borderId="5" xfId="1" applyFont="1" applyFill="1" applyBorder="1" applyAlignment="1">
      <alignment horizontal="center"/>
    </xf>
    <xf numFmtId="43" fontId="0" fillId="3" borderId="5" xfId="1" applyFont="1" applyFill="1" applyBorder="1"/>
    <xf numFmtId="165" fontId="6" fillId="3" borderId="17" xfId="1" applyNumberFormat="1" applyFont="1" applyFill="1" applyBorder="1"/>
    <xf numFmtId="1" fontId="6" fillId="3" borderId="5" xfId="1" applyNumberFormat="1" applyFont="1" applyFill="1" applyBorder="1" applyAlignment="1">
      <alignment horizontal="center"/>
    </xf>
    <xf numFmtId="165" fontId="0" fillId="3" borderId="3" xfId="1" applyNumberFormat="1" applyFont="1" applyFill="1" applyBorder="1"/>
    <xf numFmtId="165" fontId="15" fillId="3" borderId="5" xfId="1" applyNumberFormat="1" applyFont="1" applyFill="1" applyBorder="1"/>
    <xf numFmtId="165" fontId="15" fillId="3" borderId="8" xfId="1" applyNumberFormat="1" applyFont="1" applyFill="1" applyBorder="1"/>
    <xf numFmtId="165" fontId="26" fillId="3" borderId="5" xfId="1" applyNumberFormat="1" applyFont="1" applyFill="1" applyBorder="1"/>
    <xf numFmtId="165" fontId="33" fillId="3" borderId="5" xfId="1" applyNumberFormat="1" applyFont="1" applyFill="1" applyBorder="1"/>
    <xf numFmtId="165" fontId="0" fillId="3" borderId="23" xfId="1" applyNumberFormat="1" applyFont="1" applyFill="1" applyBorder="1"/>
    <xf numFmtId="165" fontId="0" fillId="3" borderId="5" xfId="1" applyNumberFormat="1" applyFont="1" applyFill="1" applyBorder="1" applyAlignment="1">
      <alignment horizontal="center"/>
    </xf>
    <xf numFmtId="165" fontId="35" fillId="3" borderId="5" xfId="1" applyNumberFormat="1" applyFont="1" applyFill="1" applyBorder="1" applyAlignment="1">
      <alignment horizontal="center"/>
    </xf>
    <xf numFmtId="10" fontId="35" fillId="3" borderId="5" xfId="3" applyNumberFormat="1" applyFont="1" applyFill="1" applyBorder="1" applyAlignment="1">
      <alignment horizontal="center"/>
    </xf>
    <xf numFmtId="42" fontId="6" fillId="3" borderId="5" xfId="1" applyNumberFormat="1" applyFont="1" applyFill="1" applyBorder="1" applyAlignment="1">
      <alignment horizontal="center"/>
    </xf>
    <xf numFmtId="10" fontId="6" fillId="3" borderId="5" xfId="3" applyNumberFormat="1" applyFont="1" applyFill="1" applyBorder="1" applyAlignment="1">
      <alignment horizontal="center"/>
    </xf>
    <xf numFmtId="165" fontId="6" fillId="3" borderId="5" xfId="1" applyNumberFormat="1" applyFont="1" applyFill="1" applyBorder="1" applyAlignment="1">
      <alignment horizontal="center"/>
    </xf>
    <xf numFmtId="165" fontId="6" fillId="3" borderId="17" xfId="1" applyNumberFormat="1" applyFont="1" applyFill="1" applyBorder="1" applyAlignment="1">
      <alignment horizontal="center"/>
    </xf>
    <xf numFmtId="10" fontId="6" fillId="3" borderId="5" xfId="3" applyNumberFormat="1" applyFont="1" applyFill="1" applyBorder="1" applyAlignment="1">
      <alignment horizontal="right"/>
    </xf>
    <xf numFmtId="10" fontId="6" fillId="3" borderId="8" xfId="3" applyNumberFormat="1" applyFont="1" applyFill="1" applyBorder="1" applyAlignment="1">
      <alignment horizontal="center"/>
    </xf>
    <xf numFmtId="0" fontId="50" fillId="0" borderId="0" xfId="0" applyFont="1" applyAlignment="1">
      <alignment horizontal="right"/>
    </xf>
    <xf numFmtId="0" fontId="50" fillId="0" borderId="0" xfId="0" applyFont="1" applyAlignment="1">
      <alignment horizontal="right" wrapText="1"/>
    </xf>
    <xf numFmtId="0" fontId="54" fillId="13" borderId="0" xfId="0" applyFont="1" applyFill="1" applyAlignment="1">
      <alignment wrapText="1"/>
    </xf>
    <xf numFmtId="0" fontId="55" fillId="13" borderId="0" xfId="0" applyFont="1" applyFill="1"/>
    <xf numFmtId="0" fontId="46" fillId="0" borderId="0" xfId="0" applyFont="1"/>
    <xf numFmtId="164" fontId="46" fillId="0" borderId="0" xfId="2" applyNumberFormat="1" applyFont="1"/>
    <xf numFmtId="167" fontId="37" fillId="0" borderId="0" xfId="3" applyNumberFormat="1" applyFont="1"/>
    <xf numFmtId="167" fontId="0" fillId="0" borderId="0" xfId="0" applyNumberFormat="1"/>
    <xf numFmtId="168" fontId="37" fillId="0" borderId="0" xfId="1" applyNumberFormat="1" applyFont="1"/>
    <xf numFmtId="168" fontId="0" fillId="0" borderId="0" xfId="0" applyNumberFormat="1"/>
  </cellXfs>
  <cellStyles count="6">
    <cellStyle name="Accent4" xfId="4" builtinId="41"/>
    <cellStyle name="Comma" xfId="1" builtinId="3"/>
    <cellStyle name="Currency" xfId="2" builtinId="4"/>
    <cellStyle name="Normal" xfId="0" builtinId="0"/>
    <cellStyle name="Normal 4" xfId="5" xr:uid="{7E1340A2-6832-4928-81D9-8FD5BEA50F3B}"/>
    <cellStyle name="Percent" xfId="3" builtinId="5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indexed="8"/>
        <name val="Calibri"/>
        <family val="2"/>
        <scheme val="minor"/>
      </font>
    </dxf>
    <dxf>
      <fill>
        <patternFill patternType="solid">
          <fgColor indexed="64"/>
          <bgColor theme="9" tint="-0.499984740745262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697229</xdr:colOff>
      <xdr:row>17</xdr:row>
      <xdr:rowOff>120185</xdr:rowOff>
    </xdr:from>
    <xdr:to>
      <xdr:col>14</xdr:col>
      <xdr:colOff>313690</xdr:colOff>
      <xdr:row>31</xdr:row>
      <xdr:rowOff>209550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9F451E-9548-14AC-4910-E9CA0BBAC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40489" y="4661705"/>
          <a:ext cx="5544821" cy="32211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nlane_palomar_edu/Documents/Documents/Budget/AdoptedBudget_MYP_9-25-22%20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ard%20Report%209-6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FY23 Adopted Assumption Table"/>
      <sheetName val="MYP"/>
      <sheetName val="Sheet1"/>
      <sheetName val="RATES"/>
      <sheetName val="SSC Dartboard"/>
      <sheetName val="FY23 Tent Assumption Table"/>
    </sheetNames>
    <sheetDataSet>
      <sheetData sheetId="0">
        <row r="50">
          <cell r="H50">
            <v>18469</v>
          </cell>
        </row>
        <row r="63">
          <cell r="I63">
            <v>1.0800000000000001E-2</v>
          </cell>
          <cell r="K63">
            <v>1.8E-3</v>
          </cell>
          <cell r="L63">
            <v>1.8E-3</v>
          </cell>
          <cell r="M63">
            <v>1.8E-3</v>
          </cell>
          <cell r="N63">
            <v>1.8E-3</v>
          </cell>
        </row>
        <row r="64"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/>
        </row>
        <row r="66">
          <cell r="J66">
            <v>0.25369999999999998</v>
          </cell>
          <cell r="K66">
            <v>0.252</v>
          </cell>
          <cell r="L66">
            <v>0.246</v>
          </cell>
          <cell r="M66">
            <v>0.23699999999999999</v>
          </cell>
          <cell r="N66">
            <v>0.23699999999999999</v>
          </cell>
        </row>
        <row r="67">
          <cell r="J67">
            <v>0.191</v>
          </cell>
          <cell r="K67">
            <v>0.191</v>
          </cell>
          <cell r="L67">
            <v>0.191</v>
          </cell>
          <cell r="M67">
            <v>0.191</v>
          </cell>
          <cell r="N67">
            <v>0.191</v>
          </cell>
        </row>
        <row r="68">
          <cell r="I68">
            <v>2.64E-2</v>
          </cell>
          <cell r="J68">
            <v>0.04</v>
          </cell>
          <cell r="K68">
            <v>0.04</v>
          </cell>
          <cell r="L68">
            <v>0.04</v>
          </cell>
          <cell r="M68">
            <v>0.04</v>
          </cell>
          <cell r="N68">
            <v>0.04</v>
          </cell>
          <cell r="O68"/>
        </row>
        <row r="71">
          <cell r="J71">
            <v>6.2E-2</v>
          </cell>
          <cell r="K71">
            <v>6.2E-2</v>
          </cell>
          <cell r="L71">
            <v>6.2E-2</v>
          </cell>
          <cell r="M71">
            <v>6.2E-2</v>
          </cell>
          <cell r="N71">
            <v>6.2E-2</v>
          </cell>
        </row>
        <row r="73">
          <cell r="J73">
            <v>5.0000000000000001E-3</v>
          </cell>
          <cell r="K73">
            <v>2E-3</v>
          </cell>
          <cell r="L73">
            <v>2E-3</v>
          </cell>
          <cell r="M73">
            <v>2E-3</v>
          </cell>
          <cell r="N73">
            <v>2E-3</v>
          </cell>
        </row>
        <row r="74">
          <cell r="J74">
            <v>1.5921000000000001E-2</v>
          </cell>
          <cell r="K74">
            <v>1.5921000000000001E-2</v>
          </cell>
          <cell r="L74">
            <v>1.5921000000000001E-2</v>
          </cell>
          <cell r="M74">
            <v>1.5921000000000001E-2</v>
          </cell>
          <cell r="N74">
            <v>1.5921000000000001E-2</v>
          </cell>
        </row>
        <row r="75">
          <cell r="J75">
            <v>2.5000000000000001E-2</v>
          </cell>
          <cell r="K75">
            <v>2.5000000000000001E-2</v>
          </cell>
          <cell r="L75">
            <v>2.5000000000000001E-2</v>
          </cell>
          <cell r="M75">
            <v>2.5000000000000001E-2</v>
          </cell>
          <cell r="N75">
            <v>2.5000000000000001E-2</v>
          </cell>
        </row>
        <row r="82">
          <cell r="J82">
            <v>6.5600000000000006E-2</v>
          </cell>
          <cell r="K82">
            <v>5.3800000000000001E-2</v>
          </cell>
          <cell r="L82">
            <v>4.02E-2</v>
          </cell>
          <cell r="M82">
            <v>0</v>
          </cell>
          <cell r="N82">
            <v>0</v>
          </cell>
        </row>
        <row r="93">
          <cell r="I93"/>
          <cell r="J93"/>
          <cell r="K93"/>
          <cell r="L93"/>
          <cell r="M93"/>
          <cell r="N93"/>
        </row>
        <row r="94">
          <cell r="I94">
            <v>30.16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Board Report_Summary-9-6-2022"/>
      <sheetName val="Board Report_Detail_9-6-2022"/>
      <sheetName val="Board Report_Detail_7-5-2022"/>
      <sheetName val="Board Report_Detail_5-3-2022"/>
      <sheetName val="3-23-2022_TB_Pivot"/>
      <sheetName val="2-23-2022_TB_Pivot"/>
      <sheetName val="10-29-2021_TB_Pivot"/>
      <sheetName val="12-16-2021_TB_Pivot"/>
      <sheetName val="TB_Pivot_09-30-2021"/>
      <sheetName val="Pivot_07-28-2021"/>
    </sheetNames>
    <sheetDataSet>
      <sheetData sheetId="0"/>
      <sheetData sheetId="1"/>
      <sheetData sheetId="2">
        <row r="69">
          <cell r="J69">
            <v>392845.51</v>
          </cell>
        </row>
        <row r="70">
          <cell r="J70">
            <v>1205894.6399999999</v>
          </cell>
        </row>
        <row r="71">
          <cell r="J71">
            <v>79830.820000000007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CC5512-BC7C-4502-9A8F-E6A2F0E9029B}" name="Table1" displayName="Table1" ref="B2:N32" totalsRowShown="0" headerRowDxfId="1">
  <tableColumns count="13">
    <tableColumn id="1" xr3:uid="{C2CE20E9-A431-48DC-9038-568EE3260626}" name="PALOMAR COLLEGE             FISCAL METRICS DASHBOARD" dataDxfId="0"/>
    <tableColumn id="2" xr3:uid="{616AB073-5AE0-496D-8E0D-17E019FBE931}" name="."/>
    <tableColumn id="3" xr3:uid="{597342CB-84BC-48CE-A04B-3A5941C98201}" name="Column2"/>
    <tableColumn id="4" xr3:uid="{832976FF-7B28-4783-950C-D6D20B27A3BD}" name="Column3"/>
    <tableColumn id="5" xr3:uid="{9AA26959-33E1-4488-A1D6-ADB9D858C839}" name="Column4"/>
    <tableColumn id="6" xr3:uid="{A9CA6F1C-E33A-4ABC-B355-4CF07F709B21}" name="Column5"/>
    <tableColumn id="7" xr3:uid="{77AA4CAB-9183-477A-9D61-175C73764904}" name="Column6"/>
    <tableColumn id="8" xr3:uid="{2D614C3F-C954-4EDF-AA90-1E873EEAC88C}" name="Column7"/>
    <tableColumn id="9" xr3:uid="{86E96A69-D331-4244-9931-28F6A3E038E0}" name="Column8"/>
    <tableColumn id="11" xr3:uid="{E5A09473-9043-4A02-997C-A160064C4655}" name="Column10"/>
    <tableColumn id="12" xr3:uid="{3DB25C15-AF1B-4081-9625-3932BC088BA7}" name="Column11"/>
    <tableColumn id="13" xr3:uid="{92B3611B-8EDE-4FBA-BF18-F80D0E0C0B13}" name="Column12"/>
    <tableColumn id="15" xr3:uid="{4DD8D366-E144-4673-BF05-673A992F7DDC}" name="Column1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A587E-69CC-4E33-B720-1541FE797BAC}">
  <sheetPr>
    <tabColor rgb="FF7030A0"/>
    <pageSetUpPr fitToPage="1"/>
  </sheetPr>
  <dimension ref="A1:AB202"/>
  <sheetViews>
    <sheetView showGridLines="0" topLeftCell="B1" zoomScaleNormal="100" workbookViewId="0">
      <selection activeCell="C113" sqref="C113"/>
    </sheetView>
  </sheetViews>
  <sheetFormatPr defaultColWidth="9.109375" defaultRowHeight="14.4"/>
  <cols>
    <col min="1" max="1" width="9.5546875" hidden="1" customWidth="1"/>
    <col min="2" max="2" width="9.5546875" customWidth="1"/>
    <col min="3" max="3" width="47.88671875" bestFit="1" customWidth="1"/>
    <col min="4" max="4" width="15.44140625" hidden="1" customWidth="1"/>
    <col min="5" max="5" width="14.88671875" hidden="1" customWidth="1"/>
    <col min="6" max="6" width="15.33203125" hidden="1" customWidth="1"/>
    <col min="7" max="7" width="16.109375" customWidth="1"/>
    <col min="8" max="8" width="17.6640625" customWidth="1"/>
    <col min="9" max="9" width="17.109375" style="1" bestFit="1" customWidth="1"/>
    <col min="10" max="10" width="19.109375" style="2" customWidth="1"/>
    <col min="11" max="11" width="17.6640625" style="2" customWidth="1"/>
    <col min="12" max="12" width="17.33203125" style="249" bestFit="1" customWidth="1"/>
    <col min="13" max="13" width="19.109375" style="2" hidden="1" customWidth="1"/>
    <col min="14" max="14" width="15" style="2" hidden="1" customWidth="1"/>
    <col min="15" max="15" width="17.6640625" style="4" hidden="1" customWidth="1"/>
    <col min="16" max="18" width="17.6640625" hidden="1" customWidth="1"/>
    <col min="19" max="19" width="16.109375" hidden="1" customWidth="1"/>
    <col min="20" max="20" width="19.5546875" hidden="1" customWidth="1"/>
    <col min="21" max="24" width="16.109375" hidden="1" customWidth="1"/>
    <col min="25" max="27" width="16.109375" bestFit="1" customWidth="1"/>
    <col min="28" max="28" width="16.6640625" bestFit="1" customWidth="1"/>
  </cols>
  <sheetData>
    <row r="1" spans="1:28">
      <c r="L1" s="3"/>
    </row>
    <row r="2" spans="1:28">
      <c r="C2" s="5" t="s">
        <v>196</v>
      </c>
      <c r="D2" s="6"/>
      <c r="E2" s="6"/>
      <c r="F2" s="6"/>
      <c r="G2" s="7"/>
      <c r="H2" s="7"/>
      <c r="I2" s="8"/>
      <c r="J2" s="9">
        <f>J3-J15</f>
        <v>1</v>
      </c>
      <c r="K2" s="9">
        <f>K3-K15</f>
        <v>-354800.23000000417</v>
      </c>
      <c r="L2" s="388">
        <v>6.5600000000000006E-2</v>
      </c>
      <c r="M2" s="9">
        <f>M3-M15</f>
        <v>-132404788.728</v>
      </c>
      <c r="N2" s="9">
        <f>N3-N15</f>
        <v>-14676885.530000001</v>
      </c>
      <c r="O2" s="10">
        <v>5.3800000000000001E-2</v>
      </c>
      <c r="P2" s="10">
        <v>4.0250000000000001E-2</v>
      </c>
      <c r="Q2" s="10">
        <v>3.7199999999999997E-2</v>
      </c>
      <c r="R2" s="11">
        <v>3.7199999999999997E-2</v>
      </c>
      <c r="S2" s="307"/>
      <c r="T2" s="13"/>
    </row>
    <row r="3" spans="1:28">
      <c r="A3" t="s">
        <v>1</v>
      </c>
      <c r="C3" s="14" t="s">
        <v>2</v>
      </c>
      <c r="D3" s="15"/>
      <c r="E3" s="15"/>
      <c r="F3" s="15"/>
      <c r="G3" s="16"/>
      <c r="H3" s="16"/>
      <c r="I3" s="17"/>
      <c r="J3" s="18">
        <v>120961506</v>
      </c>
      <c r="K3" s="18">
        <v>120961506</v>
      </c>
      <c r="L3" s="389">
        <f>K3+L4</f>
        <v>128896580.79359999</v>
      </c>
      <c r="M3" s="18"/>
      <c r="N3" s="18"/>
      <c r="O3" s="18">
        <f>L3+O4</f>
        <v>135831216.84029567</v>
      </c>
      <c r="P3" s="18">
        <f t="shared" ref="P3" si="0">O3+P4</f>
        <v>141298423.31811756</v>
      </c>
      <c r="Q3" s="18">
        <f>P3</f>
        <v>141298423.31811756</v>
      </c>
      <c r="R3" s="19">
        <f>Q3</f>
        <v>141298423.31811756</v>
      </c>
      <c r="S3" s="308"/>
      <c r="T3" s="20" t="s">
        <v>3</v>
      </c>
      <c r="W3" s="4"/>
      <c r="X3" s="4"/>
      <c r="Y3" s="4"/>
      <c r="Z3" s="4"/>
      <c r="AA3" s="4"/>
      <c r="AB3" s="4"/>
    </row>
    <row r="4" spans="1:28">
      <c r="C4" s="21" t="s">
        <v>4</v>
      </c>
      <c r="G4" s="22"/>
      <c r="H4" s="22"/>
      <c r="I4" s="23"/>
      <c r="J4" s="24"/>
      <c r="K4" s="24"/>
      <c r="L4" s="389">
        <f>K3*L2</f>
        <v>7935074.7936000004</v>
      </c>
      <c r="M4" s="24"/>
      <c r="N4" s="24"/>
      <c r="O4" s="18">
        <f>L3*O2</f>
        <v>6934636.0466956794</v>
      </c>
      <c r="P4" s="18">
        <f t="shared" ref="P4:R4" si="1">O3*P2</f>
        <v>5467206.4778219005</v>
      </c>
      <c r="Q4" s="18">
        <f t="shared" si="1"/>
        <v>5256301.3474339731</v>
      </c>
      <c r="R4" s="19">
        <f t="shared" si="1"/>
        <v>5256301.3474339731</v>
      </c>
      <c r="S4" s="308"/>
      <c r="T4" s="20" t="s">
        <v>5</v>
      </c>
      <c r="W4" s="4"/>
      <c r="X4" s="4"/>
      <c r="Y4" s="4"/>
      <c r="Z4" s="4"/>
      <c r="AA4" s="4"/>
    </row>
    <row r="5" spans="1:28" s="26" customFormat="1">
      <c r="A5" s="26" t="s">
        <v>1</v>
      </c>
      <c r="C5" s="27" t="s">
        <v>6</v>
      </c>
      <c r="D5" s="28"/>
      <c r="E5" s="28"/>
      <c r="F5" s="28"/>
      <c r="G5" s="29"/>
      <c r="H5" s="29"/>
      <c r="I5" s="30"/>
      <c r="J5" s="31">
        <v>120961506</v>
      </c>
      <c r="K5" s="31">
        <v>120961506</v>
      </c>
      <c r="L5" s="390">
        <v>132404789</v>
      </c>
      <c r="M5" s="31"/>
      <c r="N5" s="31"/>
      <c r="O5" s="31">
        <f>L5*1.0538</f>
        <v>139528166.64820001</v>
      </c>
      <c r="P5" s="32" t="s">
        <v>7</v>
      </c>
      <c r="Q5" s="32" t="s">
        <v>7</v>
      </c>
      <c r="R5" s="33" t="s">
        <v>7</v>
      </c>
      <c r="S5" s="309"/>
      <c r="W5" s="35"/>
      <c r="X5" s="35"/>
      <c r="Y5" s="35"/>
      <c r="Z5" s="35"/>
      <c r="AA5" s="35"/>
      <c r="AB5" s="35"/>
    </row>
    <row r="6" spans="1:28" s="26" customFormat="1">
      <c r="A6" s="26" t="s">
        <v>1</v>
      </c>
      <c r="C6" s="27" t="s">
        <v>8</v>
      </c>
      <c r="D6" s="28"/>
      <c r="E6" s="28"/>
      <c r="F6" s="28"/>
      <c r="G6" s="29"/>
      <c r="H6" s="29"/>
      <c r="I6" s="30"/>
      <c r="J6" s="31">
        <v>120961506</v>
      </c>
      <c r="K6" s="338">
        <v>120961506</v>
      </c>
      <c r="L6" s="391">
        <v>132404789</v>
      </c>
      <c r="M6" s="32" t="s">
        <v>139</v>
      </c>
      <c r="N6" s="31"/>
      <c r="O6" s="31">
        <f>L6*1.0538</f>
        <v>139528166.64820001</v>
      </c>
      <c r="P6" s="31">
        <f>O6*1.0403</f>
        <v>145151151.76412246</v>
      </c>
      <c r="Q6" s="32" t="s">
        <v>7</v>
      </c>
      <c r="R6" s="33" t="s">
        <v>7</v>
      </c>
      <c r="S6" s="309"/>
      <c r="W6" s="35"/>
      <c r="X6" s="35"/>
      <c r="Y6" s="35"/>
      <c r="Z6" s="35"/>
      <c r="AA6" s="35"/>
      <c r="AB6" s="35"/>
    </row>
    <row r="7" spans="1:28">
      <c r="C7" s="36" t="s">
        <v>9</v>
      </c>
      <c r="D7" s="37"/>
      <c r="E7" s="37"/>
      <c r="F7" s="37"/>
      <c r="G7" s="38"/>
      <c r="H7" s="38"/>
      <c r="I7" s="39"/>
      <c r="J7" s="40"/>
      <c r="K7" s="40"/>
      <c r="L7" s="392">
        <f>L5-L3</f>
        <v>3508208.206400007</v>
      </c>
      <c r="M7" s="337">
        <v>0.42</v>
      </c>
      <c r="N7" s="40"/>
      <c r="O7" s="41">
        <f>O5-O3</f>
        <v>3696949.8079043329</v>
      </c>
      <c r="P7" s="42" t="s">
        <v>7</v>
      </c>
      <c r="Q7" s="42" t="s">
        <v>7</v>
      </c>
      <c r="R7" s="43" t="s">
        <v>7</v>
      </c>
      <c r="S7" s="310"/>
      <c r="T7" s="25"/>
      <c r="W7" s="4"/>
      <c r="X7" s="4"/>
      <c r="Y7" s="4"/>
      <c r="Z7" s="4"/>
      <c r="AA7" s="4"/>
    </row>
    <row r="8" spans="1:28" ht="28.8">
      <c r="A8" t="s">
        <v>10</v>
      </c>
      <c r="C8" s="44" t="s">
        <v>137</v>
      </c>
      <c r="D8" s="45" t="s">
        <v>12</v>
      </c>
      <c r="E8" s="45" t="s">
        <v>13</v>
      </c>
      <c r="F8" s="45" t="s">
        <v>14</v>
      </c>
      <c r="G8" s="45" t="s">
        <v>15</v>
      </c>
      <c r="H8" s="46" t="s">
        <v>16</v>
      </c>
      <c r="I8" s="46" t="s">
        <v>135</v>
      </c>
      <c r="J8" s="47" t="s">
        <v>17</v>
      </c>
      <c r="K8" s="46" t="s">
        <v>18</v>
      </c>
      <c r="L8" s="393" t="s">
        <v>19</v>
      </c>
      <c r="M8" s="365" t="s">
        <v>138</v>
      </c>
      <c r="N8" s="47" t="s">
        <v>141</v>
      </c>
      <c r="O8" s="48" t="s">
        <v>20</v>
      </c>
      <c r="P8" s="48" t="s">
        <v>21</v>
      </c>
      <c r="Q8" s="48" t="s">
        <v>22</v>
      </c>
      <c r="R8" s="49" t="s">
        <v>23</v>
      </c>
      <c r="S8" s="47" t="s">
        <v>140</v>
      </c>
      <c r="T8" s="50" t="s">
        <v>24</v>
      </c>
      <c r="U8" s="51"/>
      <c r="W8" s="52"/>
      <c r="X8" s="52"/>
      <c r="Y8" s="52"/>
      <c r="Z8" s="52"/>
      <c r="AA8" s="52"/>
    </row>
    <row r="9" spans="1:28" hidden="1">
      <c r="A9" t="s">
        <v>25</v>
      </c>
      <c r="C9" s="53" t="s">
        <v>26</v>
      </c>
      <c r="D9" s="54"/>
      <c r="E9" s="54"/>
      <c r="F9" s="54"/>
      <c r="G9" s="54"/>
      <c r="H9" s="54"/>
      <c r="I9" s="55"/>
      <c r="J9" s="56"/>
      <c r="K9" s="56"/>
      <c r="L9" s="394"/>
      <c r="M9" s="366"/>
      <c r="N9" s="56"/>
      <c r="O9" s="57"/>
      <c r="P9" s="57"/>
      <c r="Q9" s="57"/>
      <c r="R9" s="58"/>
      <c r="S9" s="56"/>
    </row>
    <row r="10" spans="1:28" hidden="1">
      <c r="A10" t="s">
        <v>25</v>
      </c>
      <c r="C10" s="59" t="s">
        <v>27</v>
      </c>
      <c r="D10" s="60">
        <v>12896357</v>
      </c>
      <c r="E10" s="60">
        <v>3530583</v>
      </c>
      <c r="F10" s="60">
        <v>8526017</v>
      </c>
      <c r="G10" s="60">
        <v>4700389.32</v>
      </c>
      <c r="H10" s="60">
        <v>13620226.42</v>
      </c>
      <c r="I10" s="61">
        <v>2231980.34</v>
      </c>
      <c r="J10" s="62">
        <v>5134901</v>
      </c>
      <c r="K10" s="63">
        <f>1076826</f>
        <v>1076826</v>
      </c>
      <c r="L10" s="395">
        <v>1375726</v>
      </c>
      <c r="M10" s="367">
        <v>1375726</v>
      </c>
      <c r="N10" s="63">
        <v>360479</v>
      </c>
      <c r="O10" s="64">
        <f>L10*(1+$O$2)</f>
        <v>1449740.0588</v>
      </c>
      <c r="P10" s="64">
        <f>K10*(1+$L$2)*(1+$O$2)*(1+$P$2)</f>
        <v>1257869.7225211074</v>
      </c>
      <c r="Q10" s="64">
        <f>P10</f>
        <v>1257869.7225211074</v>
      </c>
      <c r="R10" s="65">
        <f>Q10</f>
        <v>1257869.7225211074</v>
      </c>
      <c r="S10" s="63"/>
      <c r="V10" s="66">
        <f>O10*(1+$P$2)</f>
        <v>1508092.0961666999</v>
      </c>
      <c r="W10" s="4"/>
      <c r="X10" s="4"/>
      <c r="Y10" s="4"/>
      <c r="Z10" s="4"/>
    </row>
    <row r="11" spans="1:28" hidden="1">
      <c r="A11" t="s">
        <v>28</v>
      </c>
      <c r="C11" s="59" t="s">
        <v>29</v>
      </c>
      <c r="D11" s="60">
        <v>15410423</v>
      </c>
      <c r="E11" s="60">
        <v>13608318</v>
      </c>
      <c r="F11" s="60">
        <v>14853617</v>
      </c>
      <c r="G11" s="60">
        <v>17158786</v>
      </c>
      <c r="H11" s="60">
        <v>9302031</v>
      </c>
      <c r="I11" s="61">
        <v>17686717</v>
      </c>
      <c r="J11" s="62">
        <v>20376714</v>
      </c>
      <c r="K11" s="63">
        <v>22713602</v>
      </c>
      <c r="L11" s="395">
        <v>28474239</v>
      </c>
      <c r="M11" s="367">
        <v>28474239</v>
      </c>
      <c r="N11" s="63">
        <v>7118560</v>
      </c>
      <c r="O11" s="64">
        <f t="shared" ref="O11:O14" si="2">L11*(1+$O$2)</f>
        <v>30006153.058200002</v>
      </c>
      <c r="P11" s="64">
        <f t="shared" ref="P11:P14" si="3">K11*(1+$L$2)*(1+$O$2)*(1+$P$2)</f>
        <v>26532375.931854237</v>
      </c>
      <c r="Q11" s="64">
        <f t="shared" ref="Q11:R14" si="4">P11</f>
        <v>26532375.931854237</v>
      </c>
      <c r="R11" s="65">
        <f t="shared" si="4"/>
        <v>26532375.931854237</v>
      </c>
      <c r="S11" s="63"/>
      <c r="T11" s="67"/>
      <c r="U11" s="68"/>
      <c r="V11" s="66">
        <f t="shared" ref="V11:V14" si="5">O11*(1+$P$2)</f>
        <v>31213900.71879255</v>
      </c>
      <c r="W11" s="4"/>
      <c r="X11" s="4"/>
      <c r="Y11" s="4"/>
      <c r="Z11" s="4"/>
      <c r="AA11" s="4"/>
      <c r="AB11" s="52"/>
    </row>
    <row r="12" spans="1:28" hidden="1">
      <c r="A12" t="s">
        <v>30</v>
      </c>
      <c r="C12" s="59" t="s">
        <v>31</v>
      </c>
      <c r="D12" s="60">
        <v>66984490.229999997</v>
      </c>
      <c r="E12" s="60">
        <v>72706679.569999993</v>
      </c>
      <c r="F12" s="60">
        <v>77180288.260000005</v>
      </c>
      <c r="G12" s="60">
        <v>81240913.049999997</v>
      </c>
      <c r="H12" s="60">
        <f>399521.31+74679739.65+958696.38+2230235.99+138135.2-560125.41+6141543.49</f>
        <v>83987746.609999999</v>
      </c>
      <c r="I12" s="61">
        <v>87522035.980000004</v>
      </c>
      <c r="J12" s="62">
        <f>89211541+0-5836409</f>
        <v>83375132</v>
      </c>
      <c r="K12" s="63">
        <v>90868176.689999998</v>
      </c>
      <c r="L12" s="395">
        <v>87927747</v>
      </c>
      <c r="M12" s="367">
        <v>87927747</v>
      </c>
      <c r="N12" s="63">
        <v>1849762.96</v>
      </c>
      <c r="O12" s="64">
        <f t="shared" si="2"/>
        <v>92658259.788600013</v>
      </c>
      <c r="P12" s="64">
        <f>K12*(1+$L$2)*(1+$O$2)*(1+$P$2)+P3-141712875</f>
        <v>105731135.62660497</v>
      </c>
      <c r="Q12" s="64">
        <f t="shared" si="4"/>
        <v>105731135.62660497</v>
      </c>
      <c r="R12" s="65">
        <f t="shared" si="4"/>
        <v>105731135.62660497</v>
      </c>
      <c r="S12" s="63"/>
      <c r="T12" s="69"/>
      <c r="V12" s="66">
        <f t="shared" si="5"/>
        <v>96387754.745091155</v>
      </c>
    </row>
    <row r="13" spans="1:28" hidden="1">
      <c r="A13" t="s">
        <v>32</v>
      </c>
      <c r="C13" s="59" t="s">
        <v>33</v>
      </c>
      <c r="D13" s="60">
        <v>8915421.5</v>
      </c>
      <c r="E13" s="60">
        <v>9045148.1999999993</v>
      </c>
      <c r="F13" s="60">
        <v>8478089.5</v>
      </c>
      <c r="G13" s="60">
        <v>8561243.5</v>
      </c>
      <c r="H13" s="60">
        <v>8382326.5</v>
      </c>
      <c r="I13" s="61">
        <v>7840766</v>
      </c>
      <c r="J13" s="62">
        <v>6238349</v>
      </c>
      <c r="K13" s="63">
        <v>6657701.54</v>
      </c>
      <c r="L13" s="395">
        <v>6692002</v>
      </c>
      <c r="M13" s="367">
        <v>6692002</v>
      </c>
      <c r="N13" s="63">
        <v>5348083.57</v>
      </c>
      <c r="O13" s="64">
        <f t="shared" si="2"/>
        <v>7052031.7076000003</v>
      </c>
      <c r="P13" s="64">
        <f t="shared" si="3"/>
        <v>7777042.1486369669</v>
      </c>
      <c r="Q13" s="64">
        <f t="shared" si="4"/>
        <v>7777042.1486369669</v>
      </c>
      <c r="R13" s="65">
        <f>Q13</f>
        <v>7777042.1486369669</v>
      </c>
      <c r="S13" s="63"/>
      <c r="T13" s="69"/>
      <c r="V13" s="66">
        <f t="shared" si="5"/>
        <v>7335875.9838308999</v>
      </c>
    </row>
    <row r="14" spans="1:28" hidden="1">
      <c r="C14" s="70" t="s">
        <v>4</v>
      </c>
      <c r="D14" s="71"/>
      <c r="E14" s="71"/>
      <c r="F14" s="71"/>
      <c r="G14" s="71"/>
      <c r="H14" s="71">
        <v>0</v>
      </c>
      <c r="I14" s="72"/>
      <c r="J14" s="73">
        <v>5836409</v>
      </c>
      <c r="K14" s="74">
        <v>0</v>
      </c>
      <c r="L14" s="396">
        <f>J19*[1]Assumptions!J82</f>
        <v>7935074.7280000011</v>
      </c>
      <c r="M14" s="368">
        <v>7935074.7280000011</v>
      </c>
      <c r="N14" s="74">
        <v>0</v>
      </c>
      <c r="O14" s="75">
        <f t="shared" si="2"/>
        <v>8361981.7483664015</v>
      </c>
      <c r="P14" s="75">
        <f t="shared" si="3"/>
        <v>0</v>
      </c>
      <c r="Q14" s="64">
        <f t="shared" si="4"/>
        <v>0</v>
      </c>
      <c r="R14" s="65">
        <f t="shared" si="4"/>
        <v>0</v>
      </c>
      <c r="S14" s="74"/>
      <c r="T14" s="67"/>
      <c r="V14" s="66">
        <f t="shared" si="5"/>
        <v>8698551.5137381479</v>
      </c>
    </row>
    <row r="15" spans="1:28" hidden="1">
      <c r="C15" s="76" t="s">
        <v>34</v>
      </c>
      <c r="D15" s="77">
        <f>SUM(D10:D13)</f>
        <v>104206691.72999999</v>
      </c>
      <c r="E15" s="77">
        <f>SUM(E10:E13)</f>
        <v>98890728.769999996</v>
      </c>
      <c r="F15" s="77">
        <f>SUM(F10:F13)</f>
        <v>109038011.76000001</v>
      </c>
      <c r="G15" s="77">
        <f>SUM(G10:G13)</f>
        <v>111661331.87</v>
      </c>
      <c r="H15" s="77">
        <f>SUM(H10:H13)</f>
        <v>115292330.53</v>
      </c>
      <c r="I15" s="78">
        <f t="shared" ref="I15:R15" si="6">SUM(I10:I14)</f>
        <v>115281499.32000001</v>
      </c>
      <c r="J15" s="79">
        <f t="shared" si="6"/>
        <v>120961505</v>
      </c>
      <c r="K15" s="79">
        <f t="shared" si="6"/>
        <v>121316306.23</v>
      </c>
      <c r="L15" s="397">
        <f t="shared" si="6"/>
        <v>132404788.728</v>
      </c>
      <c r="M15" s="369">
        <f t="shared" ref="M15:N15" si="7">SUM(M10:M14)</f>
        <v>132404788.728</v>
      </c>
      <c r="N15" s="79">
        <f t="shared" si="7"/>
        <v>14676885.530000001</v>
      </c>
      <c r="O15" s="77">
        <f t="shared" si="6"/>
        <v>139528166.36156642</v>
      </c>
      <c r="P15" s="80">
        <f t="shared" si="6"/>
        <v>141298423.42961729</v>
      </c>
      <c r="Q15" s="80">
        <f t="shared" si="6"/>
        <v>141298423.42961729</v>
      </c>
      <c r="R15" s="81">
        <f t="shared" si="6"/>
        <v>141298423.42961729</v>
      </c>
      <c r="S15" s="80"/>
      <c r="T15" s="82"/>
    </row>
    <row r="16" spans="1:28" hidden="1">
      <c r="C16" s="59" t="s">
        <v>35</v>
      </c>
      <c r="D16" s="60"/>
      <c r="E16" s="60"/>
      <c r="F16" s="60"/>
      <c r="G16" s="60"/>
      <c r="H16" s="83">
        <v>-1093864</v>
      </c>
      <c r="I16" s="61">
        <v>-698582</v>
      </c>
      <c r="J16" s="84">
        <v>0</v>
      </c>
      <c r="K16" s="84">
        <v>0</v>
      </c>
      <c r="L16" s="398"/>
      <c r="M16" s="370">
        <v>0</v>
      </c>
      <c r="N16" s="84">
        <v>0</v>
      </c>
      <c r="O16" s="83"/>
      <c r="P16" s="85"/>
      <c r="Q16" s="85"/>
      <c r="R16" s="86"/>
      <c r="S16" s="85"/>
    </row>
    <row r="17" spans="1:21" hidden="1">
      <c r="C17" s="59" t="s">
        <v>36</v>
      </c>
      <c r="D17" s="60"/>
      <c r="E17" s="60"/>
      <c r="F17" s="60"/>
      <c r="G17" s="60"/>
      <c r="H17" s="60"/>
      <c r="I17" s="61"/>
      <c r="J17" s="84"/>
      <c r="K17" s="84"/>
      <c r="L17" s="399"/>
      <c r="M17" s="370"/>
      <c r="N17" s="84"/>
      <c r="O17" s="87"/>
      <c r="P17" s="83"/>
      <c r="Q17" s="83"/>
      <c r="R17" s="88"/>
      <c r="S17" s="89"/>
      <c r="T17" s="66"/>
    </row>
    <row r="18" spans="1:21" hidden="1">
      <c r="C18" s="90" t="s">
        <v>37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2"/>
      <c r="J18" s="93">
        <v>0</v>
      </c>
      <c r="K18" s="93">
        <v>0</v>
      </c>
      <c r="L18" s="400">
        <v>0</v>
      </c>
      <c r="M18" s="371">
        <v>0</v>
      </c>
      <c r="N18" s="93">
        <v>0</v>
      </c>
      <c r="O18" s="94">
        <v>0</v>
      </c>
      <c r="P18" s="94"/>
      <c r="Q18" s="91"/>
      <c r="R18" s="95"/>
      <c r="S18" s="96"/>
    </row>
    <row r="19" spans="1:21">
      <c r="C19" s="97" t="s">
        <v>26</v>
      </c>
      <c r="D19" s="98">
        <f t="shared" ref="D19:R19" si="8">SUM(D15:D18)</f>
        <v>104206691.72999999</v>
      </c>
      <c r="E19" s="98">
        <f t="shared" si="8"/>
        <v>98890728.769999996</v>
      </c>
      <c r="F19" s="98">
        <f t="shared" si="8"/>
        <v>109038011.76000001</v>
      </c>
      <c r="G19" s="98">
        <f t="shared" si="8"/>
        <v>111661331.87</v>
      </c>
      <c r="H19" s="98">
        <f t="shared" si="8"/>
        <v>114198466.53</v>
      </c>
      <c r="I19" s="99">
        <f t="shared" si="8"/>
        <v>114582917.32000001</v>
      </c>
      <c r="J19" s="100">
        <f t="shared" si="8"/>
        <v>120961505</v>
      </c>
      <c r="K19" s="100">
        <f t="shared" si="8"/>
        <v>121316306.23</v>
      </c>
      <c r="L19" s="401">
        <f t="shared" si="8"/>
        <v>132404788.728</v>
      </c>
      <c r="M19" s="372">
        <f t="shared" ref="M19:N19" si="9">SUM(M15:M18)</f>
        <v>132404788.728</v>
      </c>
      <c r="N19" s="100">
        <f t="shared" si="9"/>
        <v>14676885.530000001</v>
      </c>
      <c r="O19" s="98">
        <f t="shared" si="8"/>
        <v>139528166.36156642</v>
      </c>
      <c r="P19" s="98">
        <f t="shared" si="8"/>
        <v>141298423.42961729</v>
      </c>
      <c r="Q19" s="101">
        <f t="shared" si="8"/>
        <v>141298423.42961729</v>
      </c>
      <c r="R19" s="102">
        <f t="shared" si="8"/>
        <v>141298423.42961729</v>
      </c>
      <c r="S19" s="319">
        <f>N19/M19</f>
        <v>0.11084860050002285</v>
      </c>
      <c r="T19" s="80">
        <f>L19-J19</f>
        <v>11443283.728</v>
      </c>
    </row>
    <row r="20" spans="1:21" hidden="1">
      <c r="C20" s="104" t="s">
        <v>38</v>
      </c>
      <c r="D20" s="105"/>
      <c r="E20" s="105"/>
      <c r="F20" s="105"/>
      <c r="G20" s="105"/>
      <c r="H20" s="105">
        <v>1264816</v>
      </c>
      <c r="I20" s="106"/>
      <c r="J20" s="107">
        <v>11701353</v>
      </c>
      <c r="K20" s="107">
        <v>7356065</v>
      </c>
      <c r="L20" s="402">
        <v>0</v>
      </c>
      <c r="M20" s="373">
        <v>11701353</v>
      </c>
      <c r="N20" s="107">
        <v>7356065</v>
      </c>
      <c r="O20" s="108">
        <v>0</v>
      </c>
      <c r="P20" s="108">
        <v>0</v>
      </c>
      <c r="Q20" s="66">
        <v>0</v>
      </c>
      <c r="R20" s="109">
        <v>0</v>
      </c>
      <c r="S20" s="107"/>
      <c r="T20" s="110"/>
    </row>
    <row r="21" spans="1:21" hidden="1">
      <c r="C21" s="53" t="s">
        <v>39</v>
      </c>
      <c r="D21" s="54"/>
      <c r="E21" s="54"/>
      <c r="F21" s="54"/>
      <c r="G21" s="54"/>
      <c r="H21" s="54"/>
      <c r="I21" s="55"/>
      <c r="J21" s="63"/>
      <c r="K21" s="63"/>
      <c r="L21" s="403"/>
      <c r="M21" s="374"/>
      <c r="N21" s="63"/>
      <c r="O21" s="112"/>
      <c r="P21" s="112"/>
      <c r="Q21" s="112"/>
      <c r="R21" s="113"/>
      <c r="S21" s="63"/>
    </row>
    <row r="22" spans="1:21" hidden="1">
      <c r="A22" t="s">
        <v>40</v>
      </c>
      <c r="C22" s="114" t="s">
        <v>41</v>
      </c>
      <c r="D22" s="115">
        <v>930000</v>
      </c>
      <c r="E22" s="115">
        <v>1201652</v>
      </c>
      <c r="F22" s="115">
        <v>1240810</v>
      </c>
      <c r="G22" s="115">
        <v>2735261</v>
      </c>
      <c r="H22" s="115">
        <v>2412012</v>
      </c>
      <c r="I22" s="1">
        <v>2406636</v>
      </c>
      <c r="J22" s="62">
        <v>2406636</v>
      </c>
      <c r="K22" s="62">
        <v>2292047.34</v>
      </c>
      <c r="L22" s="395">
        <v>3140250</v>
      </c>
      <c r="M22" s="367">
        <v>3140250</v>
      </c>
      <c r="N22" s="62">
        <v>922900</v>
      </c>
      <c r="O22" s="64">
        <f>L22</f>
        <v>3140250</v>
      </c>
      <c r="P22" s="64">
        <f>O22</f>
        <v>3140250</v>
      </c>
      <c r="Q22" s="64">
        <f>P22</f>
        <v>3140250</v>
      </c>
      <c r="R22" s="65">
        <f>Q22</f>
        <v>3140250</v>
      </c>
      <c r="S22" s="62"/>
      <c r="T22" s="116"/>
    </row>
    <row r="23" spans="1:21" hidden="1">
      <c r="A23" t="s">
        <v>42</v>
      </c>
      <c r="C23" s="114" t="s">
        <v>43</v>
      </c>
      <c r="D23" s="115">
        <v>622493</v>
      </c>
      <c r="E23" s="115">
        <v>578350</v>
      </c>
      <c r="F23" s="115">
        <v>596017</v>
      </c>
      <c r="G23" s="115">
        <v>1482932</v>
      </c>
      <c r="H23" s="115">
        <v>1440761</v>
      </c>
      <c r="I23" s="1">
        <v>918903.96</v>
      </c>
      <c r="J23" s="62">
        <f>850561+383722+205136</f>
        <v>1439419</v>
      </c>
      <c r="K23" s="62">
        <v>3356246.46</v>
      </c>
      <c r="L23" s="395">
        <f>2450435+423324+178001+133840</f>
        <v>3185600</v>
      </c>
      <c r="M23" s="367">
        <v>3185600</v>
      </c>
      <c r="N23" s="62">
        <f>854493+38889</f>
        <v>893382</v>
      </c>
      <c r="O23" s="64">
        <f>L23</f>
        <v>3185600</v>
      </c>
      <c r="P23" s="64">
        <f t="shared" ref="P23:R24" si="10">O23</f>
        <v>3185600</v>
      </c>
      <c r="Q23" s="64">
        <f t="shared" si="10"/>
        <v>3185600</v>
      </c>
      <c r="R23" s="65">
        <f>Q23*1.015</f>
        <v>3233383.9999999995</v>
      </c>
      <c r="S23" s="62"/>
      <c r="T23" s="116"/>
    </row>
    <row r="24" spans="1:21" hidden="1">
      <c r="A24">
        <v>868100</v>
      </c>
      <c r="C24" s="114" t="s">
        <v>44</v>
      </c>
      <c r="D24" s="115">
        <v>2843682.56</v>
      </c>
      <c r="E24" s="115">
        <v>2423765.52</v>
      </c>
      <c r="F24" s="115">
        <v>2869534.46</v>
      </c>
      <c r="G24" s="115">
        <v>3229452.99</v>
      </c>
      <c r="H24" s="115">
        <v>2793659.14</v>
      </c>
      <c r="I24" s="1">
        <f>3159053.85</f>
        <v>3159053.85</v>
      </c>
      <c r="J24" s="62">
        <v>2396100</v>
      </c>
      <c r="K24" s="62">
        <v>3293823.94</v>
      </c>
      <c r="L24" s="395">
        <f>170*18459</f>
        <v>3138030</v>
      </c>
      <c r="M24" s="367">
        <v>3138030</v>
      </c>
      <c r="N24" s="62">
        <v>0</v>
      </c>
      <c r="O24" s="64">
        <f>L24</f>
        <v>3138030</v>
      </c>
      <c r="P24" s="64">
        <f t="shared" si="10"/>
        <v>3138030</v>
      </c>
      <c r="Q24" s="64">
        <f t="shared" si="10"/>
        <v>3138030</v>
      </c>
      <c r="R24" s="65">
        <f t="shared" si="10"/>
        <v>3138030</v>
      </c>
      <c r="S24" s="62"/>
      <c r="T24" s="116">
        <v>17807553</v>
      </c>
    </row>
    <row r="25" spans="1:21" hidden="1">
      <c r="A25">
        <v>868200</v>
      </c>
      <c r="C25" s="114" t="s">
        <v>45</v>
      </c>
      <c r="D25" s="115">
        <v>540829</v>
      </c>
      <c r="E25" s="115">
        <v>465009</v>
      </c>
      <c r="F25" s="115">
        <v>1020928</v>
      </c>
      <c r="G25" s="115">
        <v>560956</v>
      </c>
      <c r="H25" s="115">
        <v>555010</v>
      </c>
      <c r="I25" s="1">
        <f>547470</f>
        <v>547470</v>
      </c>
      <c r="J25" s="62">
        <f>[1]Assumptions!H50*[1]Assumptions!I94</f>
        <v>557025.04</v>
      </c>
      <c r="K25" s="62">
        <v>562236</v>
      </c>
      <c r="L25" s="395">
        <f>32.68*13513</f>
        <v>441604.83999999997</v>
      </c>
      <c r="M25" s="367">
        <v>441604.83999999997</v>
      </c>
      <c r="N25" s="62">
        <v>0</v>
      </c>
      <c r="O25" s="64">
        <v>528323</v>
      </c>
      <c r="P25" s="64">
        <v>547396</v>
      </c>
      <c r="Q25" s="64">
        <v>547396</v>
      </c>
      <c r="R25" s="65">
        <v>547396</v>
      </c>
      <c r="S25" s="62"/>
      <c r="T25" s="116">
        <f>L29-T24</f>
        <v>-0.16000000014901161</v>
      </c>
      <c r="U25" s="68"/>
    </row>
    <row r="26" spans="1:21" hidden="1">
      <c r="A26" t="s">
        <v>46</v>
      </c>
      <c r="C26" s="114" t="s">
        <v>47</v>
      </c>
      <c r="D26" s="115">
        <v>2751868</v>
      </c>
      <c r="E26" s="115">
        <v>3632639</v>
      </c>
      <c r="F26" s="115">
        <v>3550024.49</v>
      </c>
      <c r="G26" s="115">
        <v>8096431.2400000002</v>
      </c>
      <c r="H26" s="115">
        <v>5594822.54</v>
      </c>
      <c r="I26" s="1">
        <f>10578+4568822.58</f>
        <v>4579400.58</v>
      </c>
      <c r="J26" s="62">
        <f>4440586</f>
        <v>4440586</v>
      </c>
      <c r="K26" s="62">
        <v>4953571.88</v>
      </c>
      <c r="L26" s="395">
        <v>5502068</v>
      </c>
      <c r="M26" s="367">
        <v>5640956</v>
      </c>
      <c r="N26" s="62">
        <v>1464625</v>
      </c>
      <c r="O26" s="64">
        <f>L26</f>
        <v>5502068</v>
      </c>
      <c r="P26" s="64">
        <f t="shared" ref="P26:R27" si="11">O26</f>
        <v>5502068</v>
      </c>
      <c r="Q26" s="64">
        <f t="shared" si="11"/>
        <v>5502068</v>
      </c>
      <c r="R26" s="65">
        <f t="shared" si="11"/>
        <v>5502068</v>
      </c>
      <c r="S26" s="62"/>
      <c r="T26" s="116"/>
    </row>
    <row r="27" spans="1:21" ht="13.95" hidden="1" customHeight="1">
      <c r="C27" s="114" t="s">
        <v>48</v>
      </c>
      <c r="D27" s="115"/>
      <c r="E27" s="115"/>
      <c r="F27" s="115"/>
      <c r="G27" s="115">
        <v>0</v>
      </c>
      <c r="H27" s="115"/>
      <c r="I27" s="1">
        <v>28000</v>
      </c>
      <c r="J27" s="62"/>
      <c r="K27" s="62">
        <v>0</v>
      </c>
      <c r="L27" s="395"/>
      <c r="M27" s="367"/>
      <c r="N27" s="62">
        <v>0</v>
      </c>
      <c r="O27" s="64">
        <f>L27</f>
        <v>0</v>
      </c>
      <c r="P27" s="64">
        <f t="shared" si="11"/>
        <v>0</v>
      </c>
      <c r="Q27" s="64">
        <f t="shared" si="11"/>
        <v>0</v>
      </c>
      <c r="R27" s="65">
        <f t="shared" si="11"/>
        <v>0</v>
      </c>
      <c r="S27" s="62"/>
      <c r="T27" s="116"/>
    </row>
    <row r="28" spans="1:21" ht="13.95" hidden="1" customHeight="1">
      <c r="A28" t="s">
        <v>49</v>
      </c>
      <c r="C28" s="114" t="s">
        <v>50</v>
      </c>
      <c r="D28" s="115">
        <v>2163848</v>
      </c>
      <c r="E28" s="115">
        <v>2750648.5</v>
      </c>
      <c r="F28" s="115">
        <v>3011994.5</v>
      </c>
      <c r="G28" s="115">
        <v>3421772.5</v>
      </c>
      <c r="H28" s="115">
        <v>2573202</v>
      </c>
      <c r="I28" s="1">
        <v>2536422.5</v>
      </c>
      <c r="J28" s="62">
        <f>1178991+1500000</f>
        <v>2678991</v>
      </c>
      <c r="K28" s="62">
        <v>2408588.5</v>
      </c>
      <c r="L28" s="395">
        <v>2400000</v>
      </c>
      <c r="M28" s="367">
        <v>2400000</v>
      </c>
      <c r="N28" s="62">
        <v>898285.5</v>
      </c>
      <c r="O28" s="117">
        <v>2678991</v>
      </c>
      <c r="P28" s="117">
        <v>2700000</v>
      </c>
      <c r="Q28" s="117">
        <v>2800000</v>
      </c>
      <c r="R28" s="118">
        <v>2900000</v>
      </c>
      <c r="S28" s="62"/>
      <c r="T28" s="116"/>
    </row>
    <row r="29" spans="1:21" ht="13.95" customHeight="1">
      <c r="C29" s="97" t="s">
        <v>39</v>
      </c>
      <c r="D29" s="101">
        <f t="shared" ref="D29:Q29" si="12">SUM(D22:D28)</f>
        <v>9852720.5600000005</v>
      </c>
      <c r="E29" s="101">
        <f t="shared" si="12"/>
        <v>11052064.02</v>
      </c>
      <c r="F29" s="101">
        <f t="shared" si="12"/>
        <v>12289308.449999999</v>
      </c>
      <c r="G29" s="101">
        <f t="shared" si="12"/>
        <v>19526805.73</v>
      </c>
      <c r="H29" s="101">
        <f t="shared" si="12"/>
        <v>15369466.68</v>
      </c>
      <c r="I29" s="119">
        <f t="shared" si="12"/>
        <v>14175886.890000001</v>
      </c>
      <c r="J29" s="120">
        <f t="shared" si="12"/>
        <v>13918757.039999999</v>
      </c>
      <c r="K29" s="120">
        <f t="shared" si="12"/>
        <v>16866514.120000001</v>
      </c>
      <c r="L29" s="404">
        <f t="shared" si="12"/>
        <v>17807552.84</v>
      </c>
      <c r="M29" s="375">
        <f t="shared" ref="M29:N29" si="13">SUM(M22:M28)</f>
        <v>17946440.84</v>
      </c>
      <c r="N29" s="120">
        <f t="shared" si="13"/>
        <v>4179192.5</v>
      </c>
      <c r="O29" s="101">
        <f t="shared" si="12"/>
        <v>18173262</v>
      </c>
      <c r="P29" s="101">
        <f t="shared" si="12"/>
        <v>18213344</v>
      </c>
      <c r="Q29" s="101">
        <f t="shared" si="12"/>
        <v>18313344</v>
      </c>
      <c r="R29" s="102">
        <f t="shared" ref="R29" si="14">SUM(R22:R28)</f>
        <v>18461128</v>
      </c>
      <c r="S29" s="320">
        <f t="shared" ref="S29:S53" si="15">N29/M29</f>
        <v>0.23287026866548322</v>
      </c>
      <c r="T29" s="80">
        <f>L29-J29</f>
        <v>3888795.8000000007</v>
      </c>
    </row>
    <row r="30" spans="1:21" hidden="1">
      <c r="C30" s="114"/>
      <c r="J30" s="63"/>
      <c r="K30" s="63"/>
      <c r="L30" s="395"/>
      <c r="M30" s="374"/>
      <c r="N30" s="63"/>
      <c r="O30" s="64"/>
      <c r="P30" s="64"/>
      <c r="Q30" s="64"/>
      <c r="R30" s="65"/>
      <c r="S30" s="321" t="e">
        <f t="shared" si="15"/>
        <v>#DIV/0!</v>
      </c>
    </row>
    <row r="31" spans="1:21" hidden="1">
      <c r="C31" s="121" t="s">
        <v>51</v>
      </c>
      <c r="D31" s="122"/>
      <c r="E31" s="122"/>
      <c r="F31" s="122"/>
      <c r="G31" s="122"/>
      <c r="H31" s="122"/>
      <c r="I31" s="123"/>
      <c r="J31" s="63"/>
      <c r="K31" s="63"/>
      <c r="L31" s="395"/>
      <c r="M31" s="374"/>
      <c r="N31" s="63"/>
      <c r="O31" s="64">
        <f>L31-J31</f>
        <v>0</v>
      </c>
      <c r="P31" s="64"/>
      <c r="Q31" s="64"/>
      <c r="R31" s="65"/>
      <c r="S31" s="321" t="e">
        <f t="shared" si="15"/>
        <v>#DIV/0!</v>
      </c>
    </row>
    <row r="32" spans="1:21" hidden="1">
      <c r="A32">
        <v>881600</v>
      </c>
      <c r="C32" s="124" t="s">
        <v>52</v>
      </c>
      <c r="D32" s="125">
        <v>2164167.17</v>
      </c>
      <c r="E32" s="125">
        <v>1441348.6</v>
      </c>
      <c r="F32" s="125">
        <v>324465.71000000002</v>
      </c>
      <c r="G32" s="125">
        <v>-25061.42</v>
      </c>
      <c r="H32" s="125">
        <f>1083012.8</f>
        <v>1083012.8</v>
      </c>
      <c r="I32" s="126">
        <f>178339-72411.92+492080.91</f>
        <v>598007.99</v>
      </c>
      <c r="J32" s="127">
        <v>500000</v>
      </c>
      <c r="K32" s="128">
        <f>2813157.94-1464625</f>
        <v>1348532.94</v>
      </c>
      <c r="L32" s="395"/>
      <c r="M32" s="376"/>
      <c r="N32" s="128">
        <f>-655989.17+53405.41</f>
        <v>-602583.76</v>
      </c>
      <c r="O32" s="64">
        <v>0</v>
      </c>
      <c r="P32" s="64">
        <v>0</v>
      </c>
      <c r="Q32" s="64">
        <v>0</v>
      </c>
      <c r="R32" s="65">
        <v>0</v>
      </c>
      <c r="S32" s="322" t="e">
        <f t="shared" si="15"/>
        <v>#DIV/0!</v>
      </c>
      <c r="T32" s="52"/>
    </row>
    <row r="33" spans="1:20" hidden="1">
      <c r="A33">
        <v>898200</v>
      </c>
      <c r="C33" s="114" t="s">
        <v>53</v>
      </c>
      <c r="D33" s="115">
        <v>763000</v>
      </c>
      <c r="E33" s="115">
        <v>10367225</v>
      </c>
      <c r="F33" s="115">
        <v>2293599</v>
      </c>
      <c r="G33" s="115">
        <f>6748113</f>
        <v>6748113</v>
      </c>
      <c r="H33" s="115">
        <v>8748958.7699999996</v>
      </c>
      <c r="I33" s="1">
        <v>994136.55</v>
      </c>
      <c r="J33" s="127">
        <f>688740</f>
        <v>688740</v>
      </c>
      <c r="K33" s="128">
        <v>4418667.3899999997</v>
      </c>
      <c r="L33" s="395">
        <v>182560</v>
      </c>
      <c r="M33" s="376">
        <v>211480</v>
      </c>
      <c r="N33" s="128">
        <v>0</v>
      </c>
      <c r="O33" s="64"/>
      <c r="P33" s="64"/>
      <c r="Q33" s="64"/>
      <c r="R33" s="65"/>
      <c r="S33" s="322">
        <f t="shared" si="15"/>
        <v>0</v>
      </c>
      <c r="T33" s="129"/>
    </row>
    <row r="34" spans="1:20" hidden="1">
      <c r="A34" t="s">
        <v>54</v>
      </c>
      <c r="C34" s="130" t="s">
        <v>55</v>
      </c>
      <c r="D34" s="125">
        <v>512668.7</v>
      </c>
      <c r="E34" s="125">
        <v>498101.47</v>
      </c>
      <c r="F34" s="125">
        <v>529825.21</v>
      </c>
      <c r="G34" s="125">
        <v>340127.73</v>
      </c>
      <c r="H34" s="125">
        <v>235668.91</v>
      </c>
      <c r="I34" s="126">
        <v>166971.51</v>
      </c>
      <c r="J34" s="127">
        <v>166692</v>
      </c>
      <c r="K34" s="128">
        <v>0</v>
      </c>
      <c r="L34" s="395"/>
      <c r="M34" s="376">
        <v>400000</v>
      </c>
      <c r="N34" s="128">
        <v>25420</v>
      </c>
      <c r="O34" s="64"/>
      <c r="P34" s="64"/>
      <c r="Q34" s="64"/>
      <c r="R34" s="65"/>
      <c r="S34" s="322">
        <f t="shared" si="15"/>
        <v>6.3549999999999995E-2</v>
      </c>
    </row>
    <row r="35" spans="1:20" hidden="1">
      <c r="C35" s="130" t="s">
        <v>56</v>
      </c>
      <c r="D35" s="125">
        <v>3748</v>
      </c>
      <c r="E35" s="125">
        <v>1880</v>
      </c>
      <c r="F35" s="125">
        <v>4820</v>
      </c>
      <c r="G35" s="125">
        <v>3230</v>
      </c>
      <c r="H35" s="125">
        <v>2230</v>
      </c>
      <c r="I35" s="123"/>
      <c r="J35" s="127">
        <v>0</v>
      </c>
      <c r="K35" s="128">
        <v>0</v>
      </c>
      <c r="L35" s="395"/>
      <c r="M35" s="376"/>
      <c r="N35" s="128">
        <v>45</v>
      </c>
      <c r="O35" s="64"/>
      <c r="P35" s="64"/>
      <c r="Q35" s="64"/>
      <c r="R35" s="65"/>
      <c r="S35" s="322" t="e">
        <f t="shared" si="15"/>
        <v>#DIV/0!</v>
      </c>
    </row>
    <row r="36" spans="1:20" hidden="1">
      <c r="C36" s="130" t="s">
        <v>57</v>
      </c>
      <c r="D36" s="125">
        <v>14844.55</v>
      </c>
      <c r="E36" s="125">
        <v>9411.15</v>
      </c>
      <c r="F36" s="125">
        <v>16538.5</v>
      </c>
      <c r="G36" s="125">
        <v>7565</v>
      </c>
      <c r="H36" s="125"/>
      <c r="I36" s="123"/>
      <c r="J36" s="127">
        <v>0</v>
      </c>
      <c r="K36" s="128">
        <v>0</v>
      </c>
      <c r="L36" s="395"/>
      <c r="M36" s="376"/>
      <c r="N36" s="128">
        <v>0</v>
      </c>
      <c r="O36" s="64"/>
      <c r="P36" s="64"/>
      <c r="Q36" s="64"/>
      <c r="R36" s="65"/>
      <c r="S36" s="322" t="e">
        <f t="shared" si="15"/>
        <v>#DIV/0!</v>
      </c>
    </row>
    <row r="37" spans="1:20" hidden="1">
      <c r="C37" s="130" t="s">
        <v>58</v>
      </c>
      <c r="D37" s="125">
        <v>65464</v>
      </c>
      <c r="E37" s="125">
        <v>60032</v>
      </c>
      <c r="F37" s="125">
        <v>56688</v>
      </c>
      <c r="G37" s="125">
        <v>53187.68</v>
      </c>
      <c r="H37" s="125">
        <v>35762.39</v>
      </c>
      <c r="I37" s="123"/>
      <c r="J37" s="127">
        <v>0</v>
      </c>
      <c r="K37" s="128">
        <v>0</v>
      </c>
      <c r="L37" s="395"/>
      <c r="M37" s="376"/>
      <c r="N37" s="128">
        <v>0</v>
      </c>
      <c r="O37" s="64"/>
      <c r="P37" s="64"/>
      <c r="Q37" s="64"/>
      <c r="R37" s="65"/>
      <c r="S37" s="322" t="e">
        <f t="shared" si="15"/>
        <v>#DIV/0!</v>
      </c>
    </row>
    <row r="38" spans="1:20" hidden="1">
      <c r="A38" t="s">
        <v>59</v>
      </c>
      <c r="C38" s="130" t="s">
        <v>60</v>
      </c>
      <c r="D38" s="125">
        <v>64948.67</v>
      </c>
      <c r="E38" s="125">
        <v>56481.84</v>
      </c>
      <c r="F38" s="125">
        <v>52919.03</v>
      </c>
      <c r="G38" s="125">
        <v>49898.23</v>
      </c>
      <c r="H38" s="125">
        <v>30266.41</v>
      </c>
      <c r="I38" s="126">
        <v>19029.830000000002</v>
      </c>
      <c r="J38" s="127">
        <v>125000</v>
      </c>
      <c r="K38" s="128">
        <v>0</v>
      </c>
      <c r="L38" s="395"/>
      <c r="M38" s="376"/>
      <c r="N38" s="128">
        <v>365</v>
      </c>
      <c r="O38" s="64"/>
      <c r="P38" s="64"/>
      <c r="Q38" s="64"/>
      <c r="R38" s="65"/>
      <c r="S38" s="322" t="e">
        <f t="shared" si="15"/>
        <v>#DIV/0!</v>
      </c>
      <c r="T38" s="52"/>
    </row>
    <row r="39" spans="1:20" hidden="1">
      <c r="C39" s="130" t="s">
        <v>61</v>
      </c>
      <c r="D39" s="125">
        <v>30237.47</v>
      </c>
      <c r="E39" s="125">
        <v>22584.91</v>
      </c>
      <c r="F39" s="125">
        <v>22730.75</v>
      </c>
      <c r="G39" s="125">
        <v>18980</v>
      </c>
      <c r="H39" s="125">
        <v>17210.25</v>
      </c>
      <c r="I39" s="123"/>
      <c r="J39" s="127">
        <v>0</v>
      </c>
      <c r="K39" s="128">
        <v>0</v>
      </c>
      <c r="L39" s="395"/>
      <c r="M39" s="376"/>
      <c r="N39" s="128">
        <v>8426</v>
      </c>
      <c r="O39" s="64"/>
      <c r="P39" s="64"/>
      <c r="Q39" s="64"/>
      <c r="R39" s="65"/>
      <c r="S39" s="322" t="e">
        <f t="shared" si="15"/>
        <v>#DIV/0!</v>
      </c>
    </row>
    <row r="40" spans="1:20" hidden="1">
      <c r="A40" t="s">
        <v>62</v>
      </c>
      <c r="C40" s="130" t="s">
        <v>63</v>
      </c>
      <c r="D40" s="125">
        <v>86669.57</v>
      </c>
      <c r="E40" s="125">
        <v>92435.97</v>
      </c>
      <c r="F40" s="125">
        <v>62369.47</v>
      </c>
      <c r="G40" s="125">
        <v>153272.82</v>
      </c>
      <c r="H40" s="125">
        <v>140039.76999999999</v>
      </c>
      <c r="I40" s="126">
        <v>109.76</v>
      </c>
      <c r="J40" s="127">
        <v>4285</v>
      </c>
      <c r="K40" s="128">
        <v>0</v>
      </c>
      <c r="L40" s="395"/>
      <c r="M40" s="376"/>
      <c r="N40" s="128">
        <v>5643</v>
      </c>
      <c r="O40" s="64"/>
      <c r="P40" s="64"/>
      <c r="Q40" s="64"/>
      <c r="R40" s="65"/>
      <c r="S40" s="322" t="e">
        <f t="shared" si="15"/>
        <v>#DIV/0!</v>
      </c>
      <c r="T40" s="52"/>
    </row>
    <row r="41" spans="1:20" hidden="1">
      <c r="A41" t="s">
        <v>64</v>
      </c>
      <c r="C41" s="130" t="s">
        <v>65</v>
      </c>
      <c r="D41" s="125">
        <v>92398.06</v>
      </c>
      <c r="E41" s="125">
        <v>70532.02</v>
      </c>
      <c r="F41" s="125">
        <v>65421.89</v>
      </c>
      <c r="G41" s="125">
        <v>104760.11</v>
      </c>
      <c r="H41" s="125">
        <v>51367.99</v>
      </c>
      <c r="I41" s="126">
        <v>22630.22</v>
      </c>
      <c r="J41" s="127">
        <v>6000</v>
      </c>
      <c r="K41" s="128">
        <v>0</v>
      </c>
      <c r="L41" s="395"/>
      <c r="M41" s="376"/>
      <c r="N41" s="128">
        <v>7963.56</v>
      </c>
      <c r="O41" s="64"/>
      <c r="P41" s="64"/>
      <c r="Q41" s="64"/>
      <c r="R41" s="65"/>
      <c r="S41" s="322" t="e">
        <f t="shared" si="15"/>
        <v>#DIV/0!</v>
      </c>
      <c r="T41" s="52"/>
    </row>
    <row r="42" spans="1:20" hidden="1">
      <c r="A42" t="s">
        <v>66</v>
      </c>
      <c r="C42" s="130" t="s">
        <v>67</v>
      </c>
      <c r="D42" s="125">
        <v>112550.78</v>
      </c>
      <c r="E42" s="125">
        <v>83643.850000000006</v>
      </c>
      <c r="F42" s="125">
        <v>70098.41</v>
      </c>
      <c r="G42" s="125">
        <v>143062</v>
      </c>
      <c r="H42" s="125">
        <v>185869.25</v>
      </c>
      <c r="I42" s="123"/>
      <c r="J42" s="127">
        <v>0</v>
      </c>
      <c r="K42" s="128">
        <v>0</v>
      </c>
      <c r="L42" s="395"/>
      <c r="M42" s="376"/>
      <c r="N42" s="128">
        <v>59265</v>
      </c>
      <c r="O42" s="64"/>
      <c r="P42" s="64"/>
      <c r="Q42" s="64"/>
      <c r="R42" s="65"/>
      <c r="S42" s="322" t="e">
        <f t="shared" si="15"/>
        <v>#DIV/0!</v>
      </c>
      <c r="T42" s="52"/>
    </row>
    <row r="43" spans="1:20" hidden="1">
      <c r="A43" t="s">
        <v>68</v>
      </c>
      <c r="C43" s="130" t="s">
        <v>69</v>
      </c>
      <c r="D43" s="125">
        <v>211.08</v>
      </c>
      <c r="E43" s="125">
        <v>596.57000000000005</v>
      </c>
      <c r="F43" s="125">
        <v>7333.37</v>
      </c>
      <c r="G43" s="125">
        <v>23386.49</v>
      </c>
      <c r="H43" s="125">
        <v>14677.51</v>
      </c>
      <c r="I43" s="126">
        <v>165.6</v>
      </c>
      <c r="J43" s="127">
        <v>132</v>
      </c>
      <c r="K43" s="128">
        <v>0</v>
      </c>
      <c r="L43" s="395"/>
      <c r="M43" s="376"/>
      <c r="N43" s="128">
        <v>13667.28</v>
      </c>
      <c r="O43" s="64"/>
      <c r="P43" s="64"/>
      <c r="Q43" s="64"/>
      <c r="R43" s="65"/>
      <c r="S43" s="322" t="e">
        <f t="shared" si="15"/>
        <v>#DIV/0!</v>
      </c>
    </row>
    <row r="44" spans="1:20" hidden="1">
      <c r="A44" t="s">
        <v>70</v>
      </c>
      <c r="C44" s="130" t="s">
        <v>71</v>
      </c>
      <c r="D44" s="125">
        <v>104618.54</v>
      </c>
      <c r="E44" s="125">
        <v>330689.87</v>
      </c>
      <c r="F44" s="125">
        <v>524854.09</v>
      </c>
      <c r="G44" s="125">
        <v>828669.53</v>
      </c>
      <c r="H44" s="125">
        <v>591038.18999999994</v>
      </c>
      <c r="I44" s="126">
        <v>316522.15999999997</v>
      </c>
      <c r="J44" s="127">
        <v>220287</v>
      </c>
      <c r="K44" s="128">
        <v>357657.83</v>
      </c>
      <c r="L44" s="395">
        <v>400000</v>
      </c>
      <c r="M44" s="376">
        <v>400000</v>
      </c>
      <c r="N44" s="128">
        <v>1711</v>
      </c>
      <c r="O44" s="64">
        <v>500000</v>
      </c>
      <c r="P44" s="64">
        <v>600000</v>
      </c>
      <c r="Q44" s="64">
        <v>700000</v>
      </c>
      <c r="R44" s="65">
        <v>700000</v>
      </c>
      <c r="S44" s="322">
        <f t="shared" si="15"/>
        <v>4.2775000000000001E-3</v>
      </c>
    </row>
    <row r="45" spans="1:20" hidden="1">
      <c r="A45" t="s">
        <v>72</v>
      </c>
      <c r="C45" s="130" t="s">
        <v>73</v>
      </c>
      <c r="D45" s="125">
        <v>137.35</v>
      </c>
      <c r="E45" s="125">
        <v>251.2</v>
      </c>
      <c r="F45" s="125">
        <v>500</v>
      </c>
      <c r="G45" s="125">
        <v>500</v>
      </c>
      <c r="H45" s="125">
        <v>500</v>
      </c>
      <c r="I45" s="126">
        <v>500</v>
      </c>
      <c r="J45" s="127">
        <v>500</v>
      </c>
      <c r="K45" s="128">
        <v>0</v>
      </c>
      <c r="L45" s="395"/>
      <c r="M45" s="376"/>
      <c r="N45" s="128">
        <v>0</v>
      </c>
      <c r="O45" s="64"/>
      <c r="P45" s="64"/>
      <c r="Q45" s="64"/>
      <c r="R45" s="65"/>
      <c r="S45" s="322" t="e">
        <f t="shared" si="15"/>
        <v>#DIV/0!</v>
      </c>
    </row>
    <row r="46" spans="1:20" hidden="1">
      <c r="C46" s="130" t="s">
        <v>74</v>
      </c>
      <c r="D46" s="125">
        <v>12332</v>
      </c>
      <c r="E46" s="125">
        <v>9150</v>
      </c>
      <c r="F46" s="125">
        <v>13284</v>
      </c>
      <c r="G46" s="125">
        <v>12130</v>
      </c>
      <c r="H46" s="125">
        <v>5445</v>
      </c>
      <c r="I46" s="123"/>
      <c r="J46" s="127"/>
      <c r="K46" s="128"/>
      <c r="L46" s="395"/>
      <c r="M46" s="376"/>
      <c r="N46" s="128">
        <v>1375</v>
      </c>
      <c r="O46" s="64"/>
      <c r="P46" s="64"/>
      <c r="Q46" s="64"/>
      <c r="R46" s="65"/>
      <c r="S46" s="322" t="e">
        <f t="shared" si="15"/>
        <v>#DIV/0!</v>
      </c>
      <c r="T46" s="52"/>
    </row>
    <row r="47" spans="1:20" hidden="1">
      <c r="A47" t="s">
        <v>75</v>
      </c>
      <c r="C47" s="130" t="s">
        <v>76</v>
      </c>
      <c r="D47" s="125">
        <v>19833.5</v>
      </c>
      <c r="E47" s="125">
        <v>25028.5</v>
      </c>
      <c r="F47" s="125">
        <v>17148</v>
      </c>
      <c r="G47" s="125">
        <v>19609</v>
      </c>
      <c r="H47" s="125">
        <v>18034</v>
      </c>
      <c r="I47" s="126">
        <v>80</v>
      </c>
      <c r="J47" s="127"/>
      <c r="K47" s="128"/>
      <c r="L47" s="395"/>
      <c r="M47" s="376"/>
      <c r="N47" s="128">
        <v>1446</v>
      </c>
      <c r="O47" s="64"/>
      <c r="P47" s="64"/>
      <c r="Q47" s="64"/>
      <c r="R47" s="65"/>
      <c r="S47" s="322" t="e">
        <f t="shared" si="15"/>
        <v>#DIV/0!</v>
      </c>
      <c r="T47" s="52"/>
    </row>
    <row r="48" spans="1:20" hidden="1">
      <c r="A48">
        <v>887700</v>
      </c>
      <c r="C48" s="130" t="s">
        <v>77</v>
      </c>
      <c r="D48" s="125">
        <v>234688.64000000001</v>
      </c>
      <c r="E48" s="125">
        <v>276849.7</v>
      </c>
      <c r="F48" s="125">
        <v>199007.17</v>
      </c>
      <c r="G48" s="125">
        <v>468516.82</v>
      </c>
      <c r="H48" s="125">
        <v>226173.78</v>
      </c>
      <c r="I48" s="126">
        <v>311213</v>
      </c>
      <c r="J48" s="127">
        <v>168764</v>
      </c>
      <c r="K48" s="128">
        <v>0</v>
      </c>
      <c r="L48" s="395"/>
      <c r="M48" s="376"/>
      <c r="N48" s="128">
        <v>147566.25</v>
      </c>
      <c r="O48" s="64"/>
      <c r="P48" s="64"/>
      <c r="Q48" s="64"/>
      <c r="R48" s="65"/>
      <c r="S48" s="322" t="e">
        <f t="shared" si="15"/>
        <v>#DIV/0!</v>
      </c>
      <c r="T48" s="52"/>
    </row>
    <row r="49" spans="1:28" hidden="1">
      <c r="A49" t="s">
        <v>78</v>
      </c>
      <c r="C49" s="130" t="s">
        <v>79</v>
      </c>
      <c r="D49" s="125">
        <v>168053.6</v>
      </c>
      <c r="E49" s="125">
        <v>146790.20000000001</v>
      </c>
      <c r="F49" s="125">
        <v>149656.6</v>
      </c>
      <c r="G49" s="125">
        <v>138327.79999999999</v>
      </c>
      <c r="H49" s="125">
        <v>144815.65</v>
      </c>
      <c r="I49" s="126">
        <f>139+128834.15</f>
        <v>128973.15</v>
      </c>
      <c r="J49" s="127">
        <v>110000</v>
      </c>
      <c r="K49" s="128">
        <v>139133.4</v>
      </c>
      <c r="L49" s="395">
        <v>150000</v>
      </c>
      <c r="M49" s="376">
        <v>265000</v>
      </c>
      <c r="N49" s="128">
        <v>52675.6</v>
      </c>
      <c r="O49" s="64">
        <v>75085</v>
      </c>
      <c r="P49" s="64">
        <v>75085</v>
      </c>
      <c r="Q49" s="64">
        <v>75085</v>
      </c>
      <c r="R49" s="65">
        <v>75085</v>
      </c>
      <c r="S49" s="322">
        <f t="shared" si="15"/>
        <v>0.19877584905660378</v>
      </c>
      <c r="T49" s="52"/>
    </row>
    <row r="50" spans="1:28" hidden="1">
      <c r="C50" s="114" t="s">
        <v>80</v>
      </c>
      <c r="I50" s="55"/>
      <c r="J50" s="127"/>
      <c r="K50" s="128"/>
      <c r="L50" s="395">
        <v>0</v>
      </c>
      <c r="M50" s="376">
        <v>0</v>
      </c>
      <c r="N50" s="128"/>
      <c r="O50" s="64">
        <v>0</v>
      </c>
      <c r="P50" s="66">
        <v>0</v>
      </c>
      <c r="Q50" s="66">
        <v>0</v>
      </c>
      <c r="R50" s="109">
        <v>0</v>
      </c>
      <c r="S50" s="322" t="e">
        <f t="shared" si="15"/>
        <v>#DIV/0!</v>
      </c>
    </row>
    <row r="51" spans="1:28" hidden="1">
      <c r="C51" s="114" t="s">
        <v>81</v>
      </c>
      <c r="I51" s="55"/>
      <c r="J51" s="127"/>
      <c r="K51" s="128"/>
      <c r="L51" s="395"/>
      <c r="M51" s="376"/>
      <c r="N51" s="128"/>
      <c r="O51" s="64"/>
      <c r="P51" s="66"/>
      <c r="Q51" s="66"/>
      <c r="R51" s="109"/>
      <c r="S51" s="322" t="e">
        <f t="shared" si="15"/>
        <v>#DIV/0!</v>
      </c>
    </row>
    <row r="52" spans="1:28" hidden="1">
      <c r="A52">
        <v>889900</v>
      </c>
      <c r="C52" s="114" t="s">
        <v>82</v>
      </c>
      <c r="D52" s="52">
        <v>318714.90000000002</v>
      </c>
      <c r="E52" s="52">
        <v>1279261.48</v>
      </c>
      <c r="F52" s="52">
        <v>406310.82</v>
      </c>
      <c r="G52" s="52">
        <v>446123.24</v>
      </c>
      <c r="H52" s="52">
        <v>1401795.81</v>
      </c>
      <c r="I52" s="1">
        <v>181975.92</v>
      </c>
      <c r="J52" s="127">
        <v>163146</v>
      </c>
      <c r="K52" s="128">
        <v>853536.95</v>
      </c>
      <c r="L52" s="395">
        <f>1957582-L44-L49</f>
        <v>1407582</v>
      </c>
      <c r="M52" s="376">
        <v>977825</v>
      </c>
      <c r="N52" s="128">
        <v>759801.32</v>
      </c>
      <c r="O52" s="64">
        <f t="shared" ref="O52:R52" si="16">208215+208741+467878+197679</f>
        <v>1082513</v>
      </c>
      <c r="P52" s="64">
        <f t="shared" si="16"/>
        <v>1082513</v>
      </c>
      <c r="Q52" s="64">
        <f t="shared" si="16"/>
        <v>1082513</v>
      </c>
      <c r="R52" s="65">
        <f t="shared" si="16"/>
        <v>1082513</v>
      </c>
      <c r="S52" s="322">
        <f t="shared" si="15"/>
        <v>0.77703200470431821</v>
      </c>
      <c r="T52" s="131"/>
    </row>
    <row r="53" spans="1:28">
      <c r="C53" s="97" t="s">
        <v>83</v>
      </c>
      <c r="D53" s="101">
        <f>SUM(D32:D52)</f>
        <v>4769286.58</v>
      </c>
      <c r="E53" s="101">
        <f>SUM(E32:E52)</f>
        <v>14772294.329999998</v>
      </c>
      <c r="F53" s="101">
        <f>SUM(F32:F52)</f>
        <v>4817570.0200000005</v>
      </c>
      <c r="G53" s="101">
        <f>SUM(G32:G52)</f>
        <v>9534398.0300000031</v>
      </c>
      <c r="H53" s="101">
        <f>SUM(H32:H52)</f>
        <v>12932866.48</v>
      </c>
      <c r="I53" s="119">
        <f>SUM(I31:I52)</f>
        <v>2740315.69</v>
      </c>
      <c r="J53" s="120">
        <f>SUM(J32:J52)</f>
        <v>2153546</v>
      </c>
      <c r="K53" s="120">
        <f>SUM(K32:K52)</f>
        <v>7117528.5100000007</v>
      </c>
      <c r="L53" s="404">
        <f t="shared" ref="L53:R53" si="17">SUM(L32:L52)</f>
        <v>2140142</v>
      </c>
      <c r="M53" s="375">
        <f>SUM(M32:M52)</f>
        <v>2254305</v>
      </c>
      <c r="N53" s="120">
        <f>SUM(N32:N52)</f>
        <v>482786.25</v>
      </c>
      <c r="O53" s="101">
        <f t="shared" si="17"/>
        <v>1657598</v>
      </c>
      <c r="P53" s="101">
        <f t="shared" si="17"/>
        <v>1757598</v>
      </c>
      <c r="Q53" s="101">
        <f t="shared" si="17"/>
        <v>1857598</v>
      </c>
      <c r="R53" s="102">
        <f t="shared" si="17"/>
        <v>1857598</v>
      </c>
      <c r="S53" s="320">
        <f t="shared" si="15"/>
        <v>0.2141619035578593</v>
      </c>
      <c r="T53" s="80">
        <f>L53-J53</f>
        <v>-13404</v>
      </c>
    </row>
    <row r="54" spans="1:28">
      <c r="C54" s="114"/>
      <c r="J54" s="63"/>
      <c r="K54" s="63"/>
      <c r="L54" s="395"/>
      <c r="M54" s="374"/>
      <c r="N54" s="63"/>
      <c r="O54" s="64"/>
      <c r="P54" s="66"/>
      <c r="Q54" s="66"/>
      <c r="R54" s="109"/>
      <c r="S54" s="63"/>
    </row>
    <row r="55" spans="1:28">
      <c r="C55" s="132" t="s">
        <v>84</v>
      </c>
      <c r="D55" s="101">
        <f t="shared" ref="D55:I55" si="18">D19+D29+D53</f>
        <v>118828698.86999999</v>
      </c>
      <c r="E55" s="101">
        <f t="shared" si="18"/>
        <v>124715087.11999999</v>
      </c>
      <c r="F55" s="101">
        <f t="shared" si="18"/>
        <v>126144890.23</v>
      </c>
      <c r="G55" s="101">
        <f t="shared" si="18"/>
        <v>140722535.63000003</v>
      </c>
      <c r="H55" s="101">
        <f t="shared" si="18"/>
        <v>142500799.69</v>
      </c>
      <c r="I55" s="133">
        <f t="shared" si="18"/>
        <v>131499119.90000001</v>
      </c>
      <c r="J55" s="120">
        <f t="shared" ref="J55:R55" si="19">+J19+J29+J53</f>
        <v>137033808.03999999</v>
      </c>
      <c r="K55" s="120">
        <f t="shared" si="19"/>
        <v>145300348.85999998</v>
      </c>
      <c r="L55" s="404">
        <f t="shared" si="19"/>
        <v>152352483.56799999</v>
      </c>
      <c r="M55" s="375">
        <f t="shared" ref="M55" si="20">+M19+M29+M53</f>
        <v>152605534.56799999</v>
      </c>
      <c r="N55" s="120">
        <f>+N19+N29+N53-1</f>
        <v>19338863.280000001</v>
      </c>
      <c r="O55" s="101">
        <f t="shared" si="19"/>
        <v>159359026.36156642</v>
      </c>
      <c r="P55" s="101">
        <f t="shared" si="19"/>
        <v>161269365.42961729</v>
      </c>
      <c r="Q55" s="101">
        <f t="shared" si="19"/>
        <v>161469365.42961729</v>
      </c>
      <c r="R55" s="102">
        <f t="shared" si="19"/>
        <v>161617149.42961729</v>
      </c>
      <c r="S55" s="320">
        <f>N55/M55</f>
        <v>0.12672452106501245</v>
      </c>
      <c r="T55" s="80">
        <f>L55-J55</f>
        <v>15318675.527999997</v>
      </c>
      <c r="U55" s="66"/>
    </row>
    <row r="56" spans="1:28">
      <c r="C56" s="134"/>
      <c r="D56" s="134"/>
      <c r="E56" s="134"/>
      <c r="F56" s="134"/>
      <c r="G56" s="135"/>
      <c r="H56" s="136"/>
      <c r="I56" s="137"/>
      <c r="J56" s="138"/>
      <c r="K56" s="138"/>
      <c r="L56" s="11"/>
      <c r="M56" s="138"/>
      <c r="N56" s="138"/>
      <c r="O56" s="139"/>
      <c r="P56" s="139"/>
      <c r="Q56" s="140"/>
      <c r="R56" s="139"/>
      <c r="S56" s="141"/>
    </row>
    <row r="57" spans="1:28" hidden="1">
      <c r="C57" s="5" t="s">
        <v>0</v>
      </c>
      <c r="D57" s="6"/>
      <c r="E57" s="6"/>
      <c r="F57" s="6"/>
      <c r="G57" s="7"/>
      <c r="H57" s="7"/>
      <c r="I57" s="8"/>
      <c r="J57" s="9">
        <f>J58-J70</f>
        <v>119291163</v>
      </c>
      <c r="K57" s="9">
        <f>K58-K70</f>
        <v>119288442.95</v>
      </c>
      <c r="L57" s="388">
        <v>6.5600000000000006E-2</v>
      </c>
      <c r="M57" s="9">
        <f>M58-M70</f>
        <v>119038280</v>
      </c>
      <c r="N57" s="9">
        <f>N58-N70</f>
        <v>120210432.14</v>
      </c>
      <c r="O57" s="10">
        <v>5.3800000000000001E-2</v>
      </c>
      <c r="P57" s="10">
        <v>4.0250000000000001E-2</v>
      </c>
      <c r="Q57" s="10">
        <v>3.7199999999999997E-2</v>
      </c>
      <c r="R57" s="11">
        <v>3.7199999999999997E-2</v>
      </c>
      <c r="S57" s="12"/>
      <c r="T57" s="13"/>
    </row>
    <row r="58" spans="1:28" hidden="1">
      <c r="A58" t="s">
        <v>1</v>
      </c>
      <c r="C58" s="14" t="s">
        <v>2</v>
      </c>
      <c r="D58" s="15"/>
      <c r="E58" s="15"/>
      <c r="F58" s="15"/>
      <c r="G58" s="16"/>
      <c r="H58" s="16"/>
      <c r="I58" s="17"/>
      <c r="J58" s="18">
        <v>120961506</v>
      </c>
      <c r="K58" s="18">
        <v>120961506</v>
      </c>
      <c r="L58" s="389">
        <f>K58+L59</f>
        <v>128896580.79359999</v>
      </c>
      <c r="M58" s="18">
        <v>120961506</v>
      </c>
      <c r="N58" s="18">
        <v>120961506</v>
      </c>
      <c r="O58" s="18">
        <f>L58+O59</f>
        <v>135831216.84029567</v>
      </c>
      <c r="P58" s="18">
        <f t="shared" ref="P58" si="21">O58+P59</f>
        <v>141298423.31811756</v>
      </c>
      <c r="Q58" s="18">
        <f>P58</f>
        <v>141298423.31811756</v>
      </c>
      <c r="R58" s="19">
        <f>Q58</f>
        <v>141298423.31811756</v>
      </c>
      <c r="S58" s="20"/>
      <c r="T58" s="13"/>
      <c r="W58" s="4"/>
      <c r="X58" s="4"/>
      <c r="Y58" s="4"/>
      <c r="Z58" s="4"/>
      <c r="AA58" s="4"/>
      <c r="AB58" s="4"/>
    </row>
    <row r="59" spans="1:28" hidden="1">
      <c r="C59" s="21"/>
      <c r="G59" s="22"/>
      <c r="H59" s="22"/>
      <c r="I59" s="23"/>
      <c r="J59" s="24"/>
      <c r="K59" s="24"/>
      <c r="L59" s="389">
        <f>K58*L57</f>
        <v>7935074.7936000004</v>
      </c>
      <c r="M59" s="24"/>
      <c r="N59" s="24"/>
      <c r="O59" s="18">
        <f>L58*O57</f>
        <v>6934636.0466956794</v>
      </c>
      <c r="P59" s="18">
        <f t="shared" ref="P59:R59" si="22">O58*P57</f>
        <v>5467206.4778219005</v>
      </c>
      <c r="Q59" s="18">
        <f t="shared" si="22"/>
        <v>5256301.3474339731</v>
      </c>
      <c r="R59" s="19">
        <f t="shared" si="22"/>
        <v>5256301.3474339731</v>
      </c>
      <c r="S59" s="20"/>
      <c r="T59" s="25"/>
      <c r="W59" s="4"/>
      <c r="X59" s="4"/>
      <c r="Y59" s="4"/>
      <c r="Z59" s="4"/>
      <c r="AA59" s="4"/>
    </row>
    <row r="60" spans="1:28" s="26" customFormat="1" hidden="1">
      <c r="A60" s="26" t="s">
        <v>1</v>
      </c>
      <c r="C60" s="27" t="s">
        <v>6</v>
      </c>
      <c r="D60" s="28"/>
      <c r="E60" s="28"/>
      <c r="F60" s="28"/>
      <c r="G60" s="29"/>
      <c r="H60" s="29"/>
      <c r="I60" s="30"/>
      <c r="J60" s="31">
        <v>120961506</v>
      </c>
      <c r="K60" s="31">
        <v>120961506</v>
      </c>
      <c r="L60" s="391">
        <v>132404789</v>
      </c>
      <c r="M60" s="31">
        <v>120961506</v>
      </c>
      <c r="N60" s="31">
        <v>120961506</v>
      </c>
      <c r="O60" s="31">
        <f>L60*1.0538</f>
        <v>139528166.64820001</v>
      </c>
      <c r="P60" s="32" t="s">
        <v>7</v>
      </c>
      <c r="Q60" s="32" t="s">
        <v>7</v>
      </c>
      <c r="R60" s="33" t="s">
        <v>7</v>
      </c>
      <c r="S60" s="34"/>
      <c r="W60" s="35"/>
      <c r="X60" s="35"/>
      <c r="Y60" s="35"/>
      <c r="Z60" s="35"/>
      <c r="AA60" s="35"/>
      <c r="AB60" s="35"/>
    </row>
    <row r="61" spans="1:28" hidden="1">
      <c r="C61" s="36" t="s">
        <v>9</v>
      </c>
      <c r="D61" s="37"/>
      <c r="E61" s="37"/>
      <c r="F61" s="37"/>
      <c r="G61" s="38"/>
      <c r="H61" s="38"/>
      <c r="I61" s="39"/>
      <c r="J61" s="40"/>
      <c r="K61" s="40"/>
      <c r="L61" s="392">
        <f>L60-L58</f>
        <v>3508208.206400007</v>
      </c>
      <c r="M61" s="40"/>
      <c r="N61" s="40"/>
      <c r="O61" s="41">
        <f>O60-O58</f>
        <v>3696949.8079043329</v>
      </c>
      <c r="P61" s="42" t="s">
        <v>7</v>
      </c>
      <c r="Q61" s="42" t="s">
        <v>7</v>
      </c>
      <c r="R61" s="43" t="s">
        <v>7</v>
      </c>
      <c r="S61" s="20"/>
      <c r="T61" s="25"/>
      <c r="W61" s="4"/>
      <c r="X61" s="4"/>
      <c r="Y61" s="4"/>
      <c r="Z61" s="4"/>
      <c r="AA61" s="4"/>
    </row>
    <row r="62" spans="1:28" hidden="1">
      <c r="C62" s="142" t="s">
        <v>11</v>
      </c>
      <c r="D62" s="143"/>
      <c r="E62" s="143"/>
      <c r="F62" s="143"/>
      <c r="G62" s="143"/>
      <c r="H62" s="143"/>
      <c r="I62" s="144"/>
      <c r="J62" s="145">
        <v>2022</v>
      </c>
      <c r="K62" s="145">
        <v>2022</v>
      </c>
      <c r="L62" s="405">
        <v>2023</v>
      </c>
      <c r="M62" s="145">
        <v>2022</v>
      </c>
      <c r="N62" s="145">
        <v>2022</v>
      </c>
      <c r="O62" s="145">
        <v>2024</v>
      </c>
      <c r="P62" s="145">
        <v>2025</v>
      </c>
      <c r="Q62" s="146">
        <v>2026</v>
      </c>
      <c r="R62" s="145">
        <v>2026</v>
      </c>
      <c r="S62" s="147"/>
      <c r="V62" s="57"/>
    </row>
    <row r="63" spans="1:28" ht="28.8">
      <c r="A63" t="s">
        <v>10</v>
      </c>
      <c r="C63" s="44" t="s">
        <v>11</v>
      </c>
      <c r="D63" s="45" t="s">
        <v>12</v>
      </c>
      <c r="E63" s="45" t="s">
        <v>13</v>
      </c>
      <c r="F63" s="45" t="s">
        <v>14</v>
      </c>
      <c r="G63" s="45" t="s">
        <v>15</v>
      </c>
      <c r="H63" s="46" t="s">
        <v>16</v>
      </c>
      <c r="I63" s="46" t="s">
        <v>135</v>
      </c>
      <c r="J63" s="47" t="s">
        <v>17</v>
      </c>
      <c r="K63" s="46" t="s">
        <v>18</v>
      </c>
      <c r="L63" s="393" t="s">
        <v>19</v>
      </c>
      <c r="M63" s="365" t="s">
        <v>138</v>
      </c>
      <c r="N63" s="47" t="s">
        <v>136</v>
      </c>
      <c r="O63" s="48" t="s">
        <v>20</v>
      </c>
      <c r="P63" s="48" t="s">
        <v>21</v>
      </c>
      <c r="Q63" s="48" t="s">
        <v>22</v>
      </c>
      <c r="R63" s="49" t="s">
        <v>23</v>
      </c>
      <c r="S63" s="47" t="s">
        <v>140</v>
      </c>
      <c r="T63" s="50" t="s">
        <v>24</v>
      </c>
      <c r="U63" s="51"/>
      <c r="W63" s="52"/>
      <c r="X63" s="52"/>
      <c r="Y63" s="52"/>
      <c r="Z63" s="52"/>
      <c r="AA63" s="52"/>
    </row>
    <row r="64" spans="1:28" hidden="1">
      <c r="C64" s="148" t="s">
        <v>85</v>
      </c>
      <c r="D64" s="149">
        <v>19625143.760000002</v>
      </c>
      <c r="E64" s="149">
        <v>22036596.640000001</v>
      </c>
      <c r="F64" s="149">
        <v>22447796.969999999</v>
      </c>
      <c r="G64" s="149">
        <v>23088012.600000001</v>
      </c>
      <c r="H64" s="150">
        <v>26453779.829999998</v>
      </c>
      <c r="I64" s="151">
        <v>23685246.48</v>
      </c>
      <c r="J64" s="152">
        <v>25056473</v>
      </c>
      <c r="K64" s="152">
        <v>23793797</v>
      </c>
      <c r="L64" s="406">
        <v>25042850</v>
      </c>
      <c r="M64" s="377">
        <f>26543200-1500000</f>
        <v>25043200</v>
      </c>
      <c r="N64" s="152">
        <v>8685713.4499999993</v>
      </c>
      <c r="O64" s="153">
        <f>L64*(1+[1]Assumptions!K63)*(1+[1]Assumptions!K82)</f>
        <v>26437657.609594002</v>
      </c>
      <c r="P64" s="153">
        <f>O64*(1+[1]Assumptions!L63)*(1+[1]Assumptions!L82)</f>
        <v>27549952.258101583</v>
      </c>
      <c r="Q64" s="153">
        <f>P64*(1+[1]Assumptions!M63)*(1+[1]Assumptions!M82)</f>
        <v>27599542.172166165</v>
      </c>
      <c r="R64" s="154">
        <f>P64*(1+[1]Assumptions!N63)*(1+[1]Assumptions!N82)</f>
        <v>27599542.172166165</v>
      </c>
      <c r="S64" s="323">
        <f>N64/M64</f>
        <v>0.34682921711282899</v>
      </c>
      <c r="T64" s="66">
        <f t="shared" ref="T64:T81" si="23">L64-J64</f>
        <v>-13623</v>
      </c>
      <c r="U64" s="66"/>
      <c r="V64" s="52"/>
    </row>
    <row r="65" spans="3:26" hidden="1">
      <c r="C65" s="114" t="s">
        <v>86</v>
      </c>
      <c r="D65" s="155">
        <v>7953204.7999999998</v>
      </c>
      <c r="E65" s="155">
        <v>8015795.9500000002</v>
      </c>
      <c r="F65" s="155">
        <v>8901144.8499999996</v>
      </c>
      <c r="G65" s="155">
        <v>9291078.0500000007</v>
      </c>
      <c r="H65" s="156">
        <v>9974813.6199999992</v>
      </c>
      <c r="I65" s="157">
        <v>9572636.3300000001</v>
      </c>
      <c r="J65" s="63">
        <v>10220920</v>
      </c>
      <c r="K65" s="63">
        <v>10261800</v>
      </c>
      <c r="L65" s="395">
        <v>10644484</v>
      </c>
      <c r="M65" s="374">
        <f>11454514-1000000</f>
        <v>10454514</v>
      </c>
      <c r="N65" s="63">
        <v>4743000.5199999996</v>
      </c>
      <c r="O65" s="64">
        <f>L65*(1+[1]Assumptions!K63)*(1+[1]Assumptions!K82)</f>
        <v>11237348.122230561</v>
      </c>
      <c r="P65" s="64">
        <f>O65*(1+[1]Assumptions!L63)*(1+[1]Assumptions!L82)</f>
        <v>11710129.877874369</v>
      </c>
      <c r="Q65" s="64">
        <f>P65*(1+[1]Assumptions!M63)*(1+[1]Assumptions!M82)</f>
        <v>11731208.111654542</v>
      </c>
      <c r="R65" s="65">
        <f>P65*(1+[1]Assumptions!N63)*(1+[1]Assumptions!N82)</f>
        <v>11731208.111654542</v>
      </c>
      <c r="S65" s="324">
        <f t="shared" ref="S65:S93" si="24">N65/M65</f>
        <v>0.45367967559276307</v>
      </c>
      <c r="T65" s="66">
        <f t="shared" si="23"/>
        <v>423564</v>
      </c>
      <c r="U65" s="66"/>
      <c r="V65" s="52"/>
    </row>
    <row r="66" spans="3:26" hidden="1">
      <c r="C66" s="124" t="s">
        <v>87</v>
      </c>
      <c r="D66" s="158">
        <v>16256315.57</v>
      </c>
      <c r="E66" s="158">
        <v>16963846.48</v>
      </c>
      <c r="F66" s="158">
        <v>17017434.920000002</v>
      </c>
      <c r="G66" s="158">
        <v>17897094.449999999</v>
      </c>
      <c r="H66" s="158">
        <v>16840778.370000001</v>
      </c>
      <c r="I66" s="157">
        <v>15439294.91</v>
      </c>
      <c r="J66" s="127">
        <v>15457877</v>
      </c>
      <c r="K66" s="127">
        <v>15657625.199999999</v>
      </c>
      <c r="L66" s="407">
        <v>16638742</v>
      </c>
      <c r="M66" s="376">
        <v>16638742</v>
      </c>
      <c r="N66" s="127">
        <v>7700977</v>
      </c>
      <c r="O66" s="159">
        <f>L66*(1+[1]Assumptions!K82)*(1+[1]Assumptions!K64)</f>
        <v>17533906.319600001</v>
      </c>
      <c r="P66" s="159">
        <f>O66*(1+[1]Assumptions!L82)*(1+[1]Assumptions!L64)</f>
        <v>18238769.353647921</v>
      </c>
      <c r="Q66" s="64">
        <f>P66*(1+[1]Assumptions!M82)*(1+[1]Assumptions!M64)</f>
        <v>18238769.353647921</v>
      </c>
      <c r="R66" s="65">
        <f>Q66*(1+[1]Assumptions!N82)*(1+[1]Assumptions!N64)</f>
        <v>18238769.353647921</v>
      </c>
      <c r="S66" s="325">
        <f t="shared" si="24"/>
        <v>0.46283408925987313</v>
      </c>
      <c r="T66" s="66">
        <f t="shared" si="23"/>
        <v>1180865</v>
      </c>
      <c r="U66" s="160"/>
      <c r="V66" s="52"/>
    </row>
    <row r="67" spans="3:26" hidden="1">
      <c r="C67" s="161" t="s">
        <v>88</v>
      </c>
      <c r="D67" s="162">
        <v>794553.53</v>
      </c>
      <c r="E67" s="162">
        <v>743920.13</v>
      </c>
      <c r="F67" s="162">
        <v>825095.55</v>
      </c>
      <c r="G67" s="162">
        <v>977394.53</v>
      </c>
      <c r="H67" s="162">
        <v>753406.46</v>
      </c>
      <c r="I67" s="163">
        <v>498638.14</v>
      </c>
      <c r="J67" s="164">
        <v>1014118</v>
      </c>
      <c r="K67" s="164">
        <v>887576.49</v>
      </c>
      <c r="L67" s="408">
        <v>971642</v>
      </c>
      <c r="M67" s="378">
        <v>973151</v>
      </c>
      <c r="N67" s="164">
        <v>359335</v>
      </c>
      <c r="O67" s="165">
        <v>600000</v>
      </c>
      <c r="P67" s="165">
        <v>600000</v>
      </c>
      <c r="Q67" s="166">
        <f>P67*(1+[1]Assumptions!M82)*(1+[1]Assumptions!M64)</f>
        <v>600000</v>
      </c>
      <c r="R67" s="167">
        <f>Q67*(1+[1]Assumptions!N82)*(1+[1]Assumptions!N64)</f>
        <v>600000</v>
      </c>
      <c r="S67" s="326">
        <f t="shared" si="24"/>
        <v>0.36924896547401176</v>
      </c>
      <c r="T67" s="66">
        <f t="shared" si="23"/>
        <v>-42476</v>
      </c>
      <c r="U67" s="66">
        <f>SUM(K64:K67)</f>
        <v>50600798.690000005</v>
      </c>
      <c r="V67" s="66">
        <f>SUM(L64:L67)</f>
        <v>53297718</v>
      </c>
    </row>
    <row r="68" spans="3:26">
      <c r="C68" s="121" t="s">
        <v>89</v>
      </c>
      <c r="D68" s="168">
        <f>SUM(D64:D67)</f>
        <v>44629217.660000004</v>
      </c>
      <c r="E68" s="168">
        <f t="shared" ref="E68:R68" si="25">SUM(E64:E67)</f>
        <v>47760159.200000003</v>
      </c>
      <c r="F68" s="168">
        <f t="shared" si="25"/>
        <v>49191472.289999999</v>
      </c>
      <c r="G68" s="168">
        <f t="shared" si="25"/>
        <v>51253579.630000003</v>
      </c>
      <c r="H68" s="168">
        <f t="shared" si="25"/>
        <v>54022778.279999994</v>
      </c>
      <c r="I68" s="169">
        <f t="shared" si="25"/>
        <v>49195815.859999999</v>
      </c>
      <c r="J68" s="170">
        <f t="shared" si="25"/>
        <v>51749388</v>
      </c>
      <c r="K68" s="170">
        <f t="shared" si="25"/>
        <v>50600798.690000005</v>
      </c>
      <c r="L68" s="409">
        <f t="shared" si="25"/>
        <v>53297718</v>
      </c>
      <c r="M68" s="379">
        <f t="shared" ref="M68:N68" si="26">SUM(M64:M67)</f>
        <v>53109607</v>
      </c>
      <c r="N68" s="170">
        <f t="shared" si="26"/>
        <v>21489025.969999999</v>
      </c>
      <c r="O68" s="171">
        <f t="shared" si="25"/>
        <v>55808912.051424563</v>
      </c>
      <c r="P68" s="171">
        <f t="shared" si="25"/>
        <v>58098851.489623874</v>
      </c>
      <c r="Q68" s="172">
        <f t="shared" si="25"/>
        <v>58169519.637468621</v>
      </c>
      <c r="R68" s="173">
        <f t="shared" si="25"/>
        <v>58169519.637468621</v>
      </c>
      <c r="S68" s="327">
        <f t="shared" si="24"/>
        <v>0.40461655025991811</v>
      </c>
      <c r="T68" s="66"/>
      <c r="U68" s="66"/>
      <c r="V68" s="66"/>
    </row>
    <row r="69" spans="3:26" hidden="1">
      <c r="C69" s="114" t="s">
        <v>90</v>
      </c>
      <c r="D69" s="155">
        <v>18640975.890000001</v>
      </c>
      <c r="E69" s="156">
        <v>21684243.890000001</v>
      </c>
      <c r="F69" s="155">
        <v>21627908.210000001</v>
      </c>
      <c r="G69" s="156">
        <v>23995659.629999999</v>
      </c>
      <c r="H69" s="156">
        <v>25440491.649999999</v>
      </c>
      <c r="I69" s="157">
        <v>23256741.640000001</v>
      </c>
      <c r="J69" s="63">
        <v>25164592</v>
      </c>
      <c r="K69" s="63">
        <v>22938629.640000001</v>
      </c>
      <c r="L69" s="395">
        <v>27405405</v>
      </c>
      <c r="M69" s="374">
        <f>27779227-1000000</f>
        <v>26779227</v>
      </c>
      <c r="N69" s="63">
        <v>10347366.470000001</v>
      </c>
      <c r="O69" s="64">
        <f>L69*(1+[1]Assumptions!K63)*(1.025)+29448-50000</f>
        <v>28120551.097224999</v>
      </c>
      <c r="P69" s="64">
        <f>O69*(1+[1]Assumptions!L63)*(1+[1]Assumptions!L82)+29765</f>
        <v>29333414.046385847</v>
      </c>
      <c r="Q69" s="64">
        <f>P69*(1+[1]Assumptions!M63)*(1+[1]Assumptions!M82)+29765</f>
        <v>29415979.191669341</v>
      </c>
      <c r="R69" s="65">
        <f>Q69*(1+[1]Assumptions!N63)*(1+[1]Assumptions!N82)+29765</f>
        <v>29498692.954214346</v>
      </c>
      <c r="S69" s="324">
        <f t="shared" si="24"/>
        <v>0.38639526338829722</v>
      </c>
      <c r="T69" s="66">
        <f t="shared" si="23"/>
        <v>2240813</v>
      </c>
    </row>
    <row r="70" spans="3:26" hidden="1">
      <c r="C70" s="114" t="s">
        <v>91</v>
      </c>
      <c r="D70" s="174">
        <v>1281443.92</v>
      </c>
      <c r="E70" s="156">
        <v>1512198.14</v>
      </c>
      <c r="F70" s="174">
        <v>1566428.7</v>
      </c>
      <c r="G70" s="156">
        <v>1844975.74</v>
      </c>
      <c r="H70" s="156">
        <v>1946687.02</v>
      </c>
      <c r="I70" s="157">
        <v>1665286.41</v>
      </c>
      <c r="J70" s="63">
        <v>1670343</v>
      </c>
      <c r="K70" s="63">
        <v>1673063.05</v>
      </c>
      <c r="L70" s="395">
        <v>1913847</v>
      </c>
      <c r="M70" s="374">
        <v>1923226</v>
      </c>
      <c r="N70" s="63">
        <v>751073.86</v>
      </c>
      <c r="O70" s="64">
        <f>L70*(1+[1]Assumptions!K63)*(1+[1]Assumptions!K82)</f>
        <v>2020442.2301434802</v>
      </c>
      <c r="P70" s="64">
        <f>O70*(1+[1]Assumptions!L63)*(1+[1]Assumptions!L82)</f>
        <v>2105447.0030092797</v>
      </c>
      <c r="Q70" s="64">
        <f>P70*(1+[1]Assumptions!M63)*(1+[1]Assumptions!M82)</f>
        <v>2109236.8076146967</v>
      </c>
      <c r="R70" s="65">
        <f>Q70*(1+[1]Assumptions!N63)*(1+[1]Assumptions!N82)</f>
        <v>2113033.4338684031</v>
      </c>
      <c r="S70" s="324">
        <f t="shared" si="24"/>
        <v>0.39052813345909426</v>
      </c>
      <c r="T70" s="66">
        <f t="shared" si="23"/>
        <v>243504</v>
      </c>
    </row>
    <row r="71" spans="3:26" hidden="1">
      <c r="C71" s="124" t="s">
        <v>92</v>
      </c>
      <c r="D71" s="174">
        <v>1535499.1</v>
      </c>
      <c r="E71" s="156">
        <v>1619392.55</v>
      </c>
      <c r="F71" s="174">
        <v>1603879.44</v>
      </c>
      <c r="G71" s="156">
        <v>1531673.28</v>
      </c>
      <c r="H71" s="156">
        <v>1040302.81</v>
      </c>
      <c r="I71" s="157">
        <v>365104.31</v>
      </c>
      <c r="J71" s="128">
        <v>481843</v>
      </c>
      <c r="K71" s="128">
        <v>985323.1</v>
      </c>
      <c r="L71" s="407">
        <v>1899860</v>
      </c>
      <c r="M71" s="380">
        <f>2260244-122832</f>
        <v>2137412</v>
      </c>
      <c r="N71" s="128">
        <v>425115.54</v>
      </c>
      <c r="O71" s="175">
        <v>250000</v>
      </c>
      <c r="P71" s="175">
        <f>O71*(1+[1]Assumptions!L64)</f>
        <v>250000</v>
      </c>
      <c r="Q71" s="64">
        <f>P71*(1+[1]Assumptions!M64)</f>
        <v>250000</v>
      </c>
      <c r="R71" s="65">
        <f>Q71*(1+[1]Assumptions!N64)</f>
        <v>250000</v>
      </c>
      <c r="S71" s="328">
        <f t="shared" si="24"/>
        <v>0.19889265148693841</v>
      </c>
      <c r="T71" s="66">
        <f t="shared" si="23"/>
        <v>1418017</v>
      </c>
    </row>
    <row r="72" spans="3:26" hidden="1">
      <c r="C72" s="161" t="s">
        <v>93</v>
      </c>
      <c r="D72" s="176">
        <v>527370.87</v>
      </c>
      <c r="E72" s="177">
        <v>515262.27</v>
      </c>
      <c r="F72" s="176">
        <v>483902.58</v>
      </c>
      <c r="G72" s="177">
        <v>521641.44</v>
      </c>
      <c r="H72" s="177">
        <v>396918.68</v>
      </c>
      <c r="I72" s="163">
        <v>309755.26</v>
      </c>
      <c r="J72" s="178">
        <v>262378</v>
      </c>
      <c r="K72" s="178">
        <v>389241.75</v>
      </c>
      <c r="L72" s="408">
        <v>620799</v>
      </c>
      <c r="M72" s="381">
        <v>618463</v>
      </c>
      <c r="N72" s="178">
        <v>151648.54</v>
      </c>
      <c r="O72" s="166">
        <f>L72*(1+[1]Assumptions!$I$63)*(1+[1]Assumptions!K64)</f>
        <v>627503.62919999997</v>
      </c>
      <c r="P72" s="166">
        <f>O72*(1+[1]Assumptions!$I$63)*(1+[1]Assumptions!L64)</f>
        <v>634280.66839535988</v>
      </c>
      <c r="Q72" s="166">
        <f>P72*(1+[1]Assumptions!$I$63)*(1+[1]Assumptions!O64)</f>
        <v>641130.89961402968</v>
      </c>
      <c r="R72" s="167">
        <f>Q72*(1+[1]Assumptions!$I$63)*(1+[1]Assumptions!P64)</f>
        <v>648055.1133298612</v>
      </c>
      <c r="S72" s="329">
        <f t="shared" si="24"/>
        <v>0.24520228372594643</v>
      </c>
      <c r="T72" s="66">
        <f t="shared" si="23"/>
        <v>358421</v>
      </c>
      <c r="U72" s="66">
        <f>SUM(K69:K72)</f>
        <v>25986257.540000003</v>
      </c>
      <c r="V72" s="66">
        <f>SUM(L69:L72)</f>
        <v>31839911</v>
      </c>
    </row>
    <row r="73" spans="3:26">
      <c r="C73" s="121" t="s">
        <v>94</v>
      </c>
      <c r="D73" s="168">
        <f>SUM(D69:D72)</f>
        <v>21985289.780000005</v>
      </c>
      <c r="E73" s="168">
        <f t="shared" ref="E73:R73" si="27">SUM(E69:E72)</f>
        <v>25331096.850000001</v>
      </c>
      <c r="F73" s="168">
        <f t="shared" si="27"/>
        <v>25282118.93</v>
      </c>
      <c r="G73" s="168">
        <f t="shared" si="27"/>
        <v>27893950.09</v>
      </c>
      <c r="H73" s="168">
        <f t="shared" si="27"/>
        <v>28824400.159999996</v>
      </c>
      <c r="I73" s="169">
        <f t="shared" si="27"/>
        <v>25596887.620000001</v>
      </c>
      <c r="J73" s="170">
        <f t="shared" si="27"/>
        <v>27579156</v>
      </c>
      <c r="K73" s="170">
        <f t="shared" si="27"/>
        <v>25986257.540000003</v>
      </c>
      <c r="L73" s="409">
        <f t="shared" si="27"/>
        <v>31839911</v>
      </c>
      <c r="M73" s="379">
        <f t="shared" ref="M73:N73" si="28">SUM(M69:M72)</f>
        <v>31458328</v>
      </c>
      <c r="N73" s="170">
        <f t="shared" si="28"/>
        <v>11675204.409999998</v>
      </c>
      <c r="O73" s="171">
        <f t="shared" si="27"/>
        <v>31018496.95656848</v>
      </c>
      <c r="P73" s="171">
        <f t="shared" si="27"/>
        <v>32323141.717790484</v>
      </c>
      <c r="Q73" s="172">
        <f t="shared" si="27"/>
        <v>32416346.898898065</v>
      </c>
      <c r="R73" s="173">
        <f t="shared" si="27"/>
        <v>32509781.501412611</v>
      </c>
      <c r="S73" s="327">
        <f t="shared" si="24"/>
        <v>0.37113238853635189</v>
      </c>
      <c r="T73" s="66"/>
      <c r="U73" s="66"/>
      <c r="V73" s="66"/>
    </row>
    <row r="74" spans="3:26" hidden="1">
      <c r="C74" s="114" t="s">
        <v>95</v>
      </c>
      <c r="D74" s="179">
        <v>6841408.2199999997</v>
      </c>
      <c r="E74" s="156">
        <v>8661787.3399999999</v>
      </c>
      <c r="F74" s="179">
        <v>9193592.7699999996</v>
      </c>
      <c r="G74" s="156">
        <v>13166255.949999999</v>
      </c>
      <c r="H74" s="156">
        <v>12683110.220000001</v>
      </c>
      <c r="I74" s="157">
        <v>10846957.27</v>
      </c>
      <c r="J74" s="62">
        <v>11799973</v>
      </c>
      <c r="K74" s="62">
        <v>11620907</v>
      </c>
      <c r="L74" s="395">
        <v>13163536</v>
      </c>
      <c r="M74" s="367">
        <v>13537586</v>
      </c>
      <c r="N74" s="62">
        <v>3746123.14</v>
      </c>
      <c r="O74" s="64">
        <f>L74/[1]Assumptions!J67*(1+[1]Assumptions!K63)*(1+[1]Assumptions!K82)*[1]Assumptions!K67+366918</f>
        <v>14263621.358426241</v>
      </c>
      <c r="P74" s="64">
        <f>O74/[1]Assumptions!K67*(1+[1]Assumptions!L63)*(1+[1]Assumptions!L82)*[1]Assumptions!L67</f>
        <v>14863725.571121639</v>
      </c>
      <c r="Q74" s="64">
        <f>P74/[1]Assumptions!L67*(1+[1]Assumptions!M63)*(1+[1]Assumptions!M82)*[1]Assumptions!M67</f>
        <v>14890480.277149657</v>
      </c>
      <c r="R74" s="65">
        <f>Q74/[1]Assumptions!M67*(1+[1]Assumptions!N63)*(1+[1]Assumptions!N82)*[1]Assumptions!N67</f>
        <v>14917283.141648525</v>
      </c>
      <c r="S74" s="330">
        <f t="shared" si="24"/>
        <v>0.27672017300573382</v>
      </c>
      <c r="T74" s="66">
        <f t="shared" si="23"/>
        <v>1363563</v>
      </c>
      <c r="V74" s="66"/>
    </row>
    <row r="75" spans="3:26" hidden="1">
      <c r="C75" s="114" t="s">
        <v>96</v>
      </c>
      <c r="D75" s="179">
        <v>2397022.4700000002</v>
      </c>
      <c r="E75" s="156">
        <v>3165458.83</v>
      </c>
      <c r="F75" s="179">
        <v>3797520.56</v>
      </c>
      <c r="G75" s="156">
        <v>6753250.6299999999</v>
      </c>
      <c r="H75" s="156">
        <v>5722083.1200000001</v>
      </c>
      <c r="I75" s="157">
        <v>5570162.79</v>
      </c>
      <c r="J75" s="63">
        <v>6684059</v>
      </c>
      <c r="K75" s="63">
        <v>6186337</v>
      </c>
      <c r="L75" s="395">
        <v>8174643</v>
      </c>
      <c r="M75" s="374">
        <v>8410620</v>
      </c>
      <c r="N75" s="63">
        <v>3090364.67</v>
      </c>
      <c r="O75" s="64">
        <f>L75/[1]Assumptions!J66*(1+[1]Assumptions!K63)*(1+[1]Assumptions!K82)*[1]Assumptions!K66-500000</f>
        <v>8072117.0097496528</v>
      </c>
      <c r="P75" s="64">
        <f>O75/[1]Assumptions!K66*(1+[1]Assumptions!L63)*(1+[1]Assumptions!L82)*[1]Assumptions!L66+513460</f>
        <v>8724910.7362948693</v>
      </c>
      <c r="Q75" s="64">
        <f>P75/[1]Assumptions!L66*(1+[1]Assumptions!M63)*(1+[1]Assumptions!M82)*[1]Assumptions!M66</f>
        <v>8420836.9569999482</v>
      </c>
      <c r="R75" s="65">
        <f>Q75/[1]Assumptions!M66*(1+[1]Assumptions!N63)*(1+[1]Assumptions!N82)*[1]Assumptions!N66</f>
        <v>8435994.4635225479</v>
      </c>
      <c r="S75" s="324">
        <f t="shared" si="24"/>
        <v>0.36743601185168273</v>
      </c>
      <c r="T75" s="66">
        <f t="shared" si="23"/>
        <v>1490584</v>
      </c>
      <c r="V75" s="66"/>
      <c r="Y75" s="4"/>
    </row>
    <row r="76" spans="3:26" hidden="1">
      <c r="C76" s="114" t="s">
        <v>97</v>
      </c>
      <c r="D76" s="179">
        <v>2274375.69</v>
      </c>
      <c r="E76" s="156">
        <v>2591294</v>
      </c>
      <c r="F76" s="179">
        <v>2633830</v>
      </c>
      <c r="G76" s="156">
        <v>2870434.17</v>
      </c>
      <c r="H76" s="156">
        <v>3075410.88</v>
      </c>
      <c r="I76" s="157">
        <v>2809218.52</v>
      </c>
      <c r="J76" s="63">
        <v>2982910</v>
      </c>
      <c r="K76" s="63">
        <v>2852182</v>
      </c>
      <c r="L76" s="395">
        <v>3259186</v>
      </c>
      <c r="M76" s="374">
        <v>3360125</v>
      </c>
      <c r="N76" s="63">
        <v>1256476.03</v>
      </c>
      <c r="O76" s="64">
        <f>L76/[1]Assumptions!J71*(1+[1]Assumptions!K63)*(1+[1]Assumptions!K82)*[1]Assumptions!K71-500000</f>
        <v>2940712.3611722402</v>
      </c>
      <c r="P76" s="64">
        <f>O76/[1]Assumptions!K71*(1+[1]Assumptions!L63)*(1+[1]Assumptions!L82)*[1]Assumptions!L71</f>
        <v>3064435.0702879285</v>
      </c>
      <c r="Q76" s="64">
        <f>P76/[1]Assumptions!L71*(1+[1]Assumptions!M63)*(1+[1]Assumptions!M82)*[1]Assumptions!M71</f>
        <v>3069951.0534144468</v>
      </c>
      <c r="R76" s="65">
        <f>Q76/[1]Assumptions!M71*(1+[1]Assumptions!N63)*(1+[1]Assumptions!N82)*[1]Assumptions!N71</f>
        <v>3075476.9653105931</v>
      </c>
      <c r="S76" s="324">
        <f t="shared" si="24"/>
        <v>0.37393728804731968</v>
      </c>
      <c r="T76" s="66">
        <f t="shared" si="23"/>
        <v>276276</v>
      </c>
    </row>
    <row r="77" spans="3:26" hidden="1">
      <c r="C77" s="114" t="s">
        <v>98</v>
      </c>
      <c r="D77" s="179">
        <v>13817479.43</v>
      </c>
      <c r="E77" s="156">
        <v>14814339.119999999</v>
      </c>
      <c r="F77" s="179">
        <v>16276968.15</v>
      </c>
      <c r="G77" s="156">
        <v>17219275.050000001</v>
      </c>
      <c r="H77" s="156">
        <v>17233667.239999998</v>
      </c>
      <c r="I77" s="157">
        <v>14436904.18</v>
      </c>
      <c r="J77" s="63">
        <v>14631250</v>
      </c>
      <c r="K77" s="63">
        <v>13591157</v>
      </c>
      <c r="L77" s="395">
        <v>16793136</v>
      </c>
      <c r="M77" s="374">
        <v>16866694</v>
      </c>
      <c r="N77" s="63">
        <v>5368245.17</v>
      </c>
      <c r="O77" s="64">
        <f>L77*(1+[1]Assumptions!K68)</f>
        <v>17464861.440000001</v>
      </c>
      <c r="P77" s="64">
        <f>O77*(1+[1]Assumptions!L68)</f>
        <v>18163455.897600003</v>
      </c>
      <c r="Q77" s="64">
        <f>P77*(1+[1]Assumptions!M68)-530333-100000</f>
        <v>18259661.133504003</v>
      </c>
      <c r="R77" s="65">
        <f>Q77*(1+[1]Assumptions!N68)-530333-100000</f>
        <v>18359714.578844164</v>
      </c>
      <c r="S77" s="324">
        <f t="shared" si="24"/>
        <v>0.31827488955452682</v>
      </c>
      <c r="T77" s="66">
        <f t="shared" si="23"/>
        <v>2161886</v>
      </c>
      <c r="W77" s="66"/>
      <c r="X77" s="66"/>
      <c r="Y77" s="66"/>
      <c r="Z77" s="66"/>
    </row>
    <row r="78" spans="3:26" s="187" customFormat="1" hidden="1">
      <c r="C78" s="180" t="s">
        <v>99</v>
      </c>
      <c r="D78" s="181"/>
      <c r="E78" s="182"/>
      <c r="F78" s="181"/>
      <c r="G78" s="182"/>
      <c r="H78" s="182"/>
      <c r="I78" s="183"/>
      <c r="J78" s="184">
        <f>[1]Assumptions!I93</f>
        <v>0</v>
      </c>
      <c r="K78" s="184">
        <v>0</v>
      </c>
      <c r="L78" s="410">
        <f>[1]Assumptions!J93</f>
        <v>0</v>
      </c>
      <c r="M78" s="382">
        <v>0</v>
      </c>
      <c r="N78" s="184">
        <v>0</v>
      </c>
      <c r="O78" s="185">
        <f>[1]Assumptions!K93</f>
        <v>0</v>
      </c>
      <c r="P78" s="185">
        <f>[1]Assumptions!L93</f>
        <v>0</v>
      </c>
      <c r="Q78" s="185">
        <f>[1]Assumptions!M93</f>
        <v>0</v>
      </c>
      <c r="R78" s="186">
        <f>[1]Assumptions!N93</f>
        <v>0</v>
      </c>
      <c r="S78" s="331" t="e">
        <f t="shared" si="24"/>
        <v>#DIV/0!</v>
      </c>
      <c r="T78" s="66">
        <f t="shared" si="23"/>
        <v>0</v>
      </c>
      <c r="W78" s="188"/>
      <c r="X78" s="188"/>
      <c r="Y78" s="188"/>
      <c r="Z78" s="188"/>
    </row>
    <row r="79" spans="3:26" hidden="1">
      <c r="C79" s="114" t="s">
        <v>100</v>
      </c>
      <c r="D79" s="179">
        <v>119120.65</v>
      </c>
      <c r="E79" s="156">
        <v>85964.33</v>
      </c>
      <c r="F79" s="179">
        <v>36034.79</v>
      </c>
      <c r="G79" s="156">
        <v>99208.78</v>
      </c>
      <c r="H79" s="156">
        <v>109354.31</v>
      </c>
      <c r="I79" s="157">
        <v>65182.94</v>
      </c>
      <c r="J79" s="63">
        <v>113587</v>
      </c>
      <c r="K79" s="63">
        <f>'[2]Board Report_Detail_9-6-2022'!J69</f>
        <v>392845.51</v>
      </c>
      <c r="L79" s="395">
        <v>493022</v>
      </c>
      <c r="M79" s="374">
        <v>507672</v>
      </c>
      <c r="N79" s="63">
        <v>204843.48</v>
      </c>
      <c r="O79" s="64">
        <f>L79/[1]Assumptions!J73*(1+[1]Assumptions!K63)*(1+[1]Assumptions!K82)*[1]Assumptions!K73</f>
        <v>208192.70698019202</v>
      </c>
      <c r="P79" s="64">
        <f>O79/[1]Assumptions!K73*(1+[1]Assumptions!L63)*(1+[1]Assumptions!L82)*[1]Assumptions!L73</f>
        <v>216951.86549763716</v>
      </c>
      <c r="Q79" s="64">
        <f>P79/[1]Assumptions!L73*(1+[1]Assumptions!M63)*(1+[1]Assumptions!M82)*[1]Assumptions!M73</f>
        <v>217342.37885553291</v>
      </c>
      <c r="R79" s="65">
        <f>Q79/[1]Assumptions!M73*(1+[1]Assumptions!N63)*(1+[1]Assumptions!N82)*[1]Assumptions!N73</f>
        <v>217733.59513747288</v>
      </c>
      <c r="S79" s="324">
        <f t="shared" si="24"/>
        <v>0.40349572164704772</v>
      </c>
      <c r="T79" s="66">
        <f t="shared" si="23"/>
        <v>379435</v>
      </c>
    </row>
    <row r="80" spans="3:26" hidden="1">
      <c r="C80" s="114" t="s">
        <v>101</v>
      </c>
      <c r="D80" s="179">
        <v>1249107.8999999999</v>
      </c>
      <c r="E80" s="156">
        <v>1243145.96</v>
      </c>
      <c r="F80" s="179">
        <v>1155720.1000000001</v>
      </c>
      <c r="G80" s="156">
        <v>1181404.1599999999</v>
      </c>
      <c r="H80" s="156">
        <v>1228698.26</v>
      </c>
      <c r="I80" s="157">
        <v>1171705.8700000001</v>
      </c>
      <c r="J80" s="63">
        <v>1233088</v>
      </c>
      <c r="K80" s="63">
        <f>'[2]Board Report_Detail_9-6-2022'!J70</f>
        <v>1205894.6399999999</v>
      </c>
      <c r="L80" s="395">
        <v>1343792</v>
      </c>
      <c r="M80" s="374">
        <v>1390046</v>
      </c>
      <c r="N80" s="63">
        <v>528159.46</v>
      </c>
      <c r="O80" s="64">
        <f>L80/[1]Assumptions!J74*(1+[1]Assumptions!K63)*(1+[1]Assumptions!K82)*[1]Assumptions!K74</f>
        <v>1418636.9680172801</v>
      </c>
      <c r="P80" s="64">
        <f>O80/[1]Assumptions!K74*(1+[1]Assumptions!L63)*(1+[1]Assumptions!L82)*[1]Assumptions!L74</f>
        <v>1478322.3732450115</v>
      </c>
      <c r="Q80" s="64">
        <f>P80/[1]Assumptions!L74*(1+[1]Assumptions!M63)*(1+[1]Assumptions!M82)*[1]Assumptions!M74</f>
        <v>1480983.3535168525</v>
      </c>
      <c r="R80" s="65">
        <f>Q80/[1]Assumptions!M74*(1+[1]Assumptions!N63)*(1+[1]Assumptions!N82)*[1]Assumptions!N74</f>
        <v>1483649.1235531829</v>
      </c>
      <c r="S80" s="324">
        <f t="shared" si="24"/>
        <v>0.37995826037411706</v>
      </c>
      <c r="T80" s="66">
        <f t="shared" si="23"/>
        <v>110704</v>
      </c>
      <c r="W80" s="66"/>
      <c r="X80" s="66"/>
      <c r="Y80" s="66"/>
      <c r="Z80" s="189"/>
    </row>
    <row r="81" spans="3:28" hidden="1">
      <c r="C81" s="114" t="s">
        <v>102</v>
      </c>
      <c r="D81" s="179">
        <v>118922.55</v>
      </c>
      <c r="E81" s="156">
        <v>116220</v>
      </c>
      <c r="F81" s="179">
        <v>113742.16</v>
      </c>
      <c r="G81" s="156">
        <v>120451.1</v>
      </c>
      <c r="H81" s="156">
        <v>95462.42</v>
      </c>
      <c r="I81" s="157">
        <v>67075.649999999994</v>
      </c>
      <c r="J81" s="63">
        <v>88094</v>
      </c>
      <c r="K81" s="63">
        <f>'[2]Board Report_Detail_9-6-2022'!J71</f>
        <v>79830.820000000007</v>
      </c>
      <c r="L81" s="395">
        <v>136584</v>
      </c>
      <c r="M81" s="374">
        <v>125488</v>
      </c>
      <c r="N81" s="63">
        <v>36876.379999999997</v>
      </c>
      <c r="O81" s="64">
        <f>L81/[1]Assumptions!J75*(1+[1]Assumptions!K63)*(1+[1]Assumptions!K82)*[1]Assumptions!K75</f>
        <v>144191.29719456003</v>
      </c>
      <c r="P81" s="64">
        <f>O81/[1]Assumptions!K75*(1+[1]Assumptions!L63)*(1+[1]Assumptions!L82)*[1]Assumptions!L75</f>
        <v>150257.76535899655</v>
      </c>
      <c r="Q81" s="64">
        <f>P81/[1]Assumptions!L75*(1+[1]Assumptions!M63)*(1+[1]Assumptions!M82)*[1]Assumptions!M75</f>
        <v>150528.22933664275</v>
      </c>
      <c r="R81" s="65">
        <f>Q81/[1]Assumptions!M75*(1+[1]Assumptions!N63)*(1+[1]Assumptions!N82)*[1]Assumptions!N75</f>
        <v>150799.18014944869</v>
      </c>
      <c r="S81" s="324">
        <f t="shared" si="24"/>
        <v>0.29386379574142546</v>
      </c>
      <c r="T81" s="66">
        <f t="shared" si="23"/>
        <v>48490</v>
      </c>
    </row>
    <row r="82" spans="3:28" hidden="1">
      <c r="C82" s="190" t="s">
        <v>103</v>
      </c>
      <c r="D82" s="191">
        <v>1285914.33</v>
      </c>
      <c r="E82" s="177">
        <v>1253754.1299999999</v>
      </c>
      <c r="F82" s="191">
        <v>1257866.5</v>
      </c>
      <c r="G82" s="177">
        <v>1368415.05</v>
      </c>
      <c r="H82" s="177">
        <v>1301025.07</v>
      </c>
      <c r="I82" s="163">
        <v>-45521.2</v>
      </c>
      <c r="J82" s="192">
        <v>227000</v>
      </c>
      <c r="K82" s="192">
        <v>208161.89</v>
      </c>
      <c r="L82" s="411">
        <v>227000</v>
      </c>
      <c r="M82" s="383">
        <v>227000</v>
      </c>
      <c r="N82" s="192">
        <v>-9563.35</v>
      </c>
      <c r="O82" s="193"/>
      <c r="P82" s="193"/>
      <c r="Q82" s="193"/>
      <c r="R82" s="194"/>
      <c r="S82" s="332">
        <f t="shared" si="24"/>
        <v>-4.2129295154185023E-2</v>
      </c>
      <c r="T82" s="195"/>
      <c r="U82" s="66">
        <f>SUM(K74:K82)</f>
        <v>36137315.859999999</v>
      </c>
      <c r="V82" s="66">
        <f>SUM(L74:L82)</f>
        <v>43590899</v>
      </c>
    </row>
    <row r="83" spans="3:28">
      <c r="C83" s="121" t="s">
        <v>104</v>
      </c>
      <c r="D83" s="168">
        <f>SUM(D74:D82)</f>
        <v>28103351.239999995</v>
      </c>
      <c r="E83" s="168">
        <f t="shared" ref="E83:R83" si="29">SUM(E74:E82)</f>
        <v>31931963.709999997</v>
      </c>
      <c r="F83" s="168">
        <f t="shared" si="29"/>
        <v>34465275.030000001</v>
      </c>
      <c r="G83" s="168">
        <f t="shared" si="29"/>
        <v>42778694.889999993</v>
      </c>
      <c r="H83" s="168">
        <f t="shared" si="29"/>
        <v>41448811.519999996</v>
      </c>
      <c r="I83" s="169">
        <f t="shared" si="29"/>
        <v>34921686.019999988</v>
      </c>
      <c r="J83" s="170">
        <f t="shared" si="29"/>
        <v>37759961</v>
      </c>
      <c r="K83" s="170">
        <f t="shared" si="29"/>
        <v>36137315.859999999</v>
      </c>
      <c r="L83" s="409">
        <f t="shared" si="29"/>
        <v>43590899</v>
      </c>
      <c r="M83" s="379">
        <f t="shared" ref="M83:N83" si="30">SUM(M74:M82)</f>
        <v>44425231</v>
      </c>
      <c r="N83" s="170">
        <f t="shared" si="30"/>
        <v>14221524.980000004</v>
      </c>
      <c r="O83" s="171">
        <f t="shared" si="29"/>
        <v>44512333.14154017</v>
      </c>
      <c r="P83" s="171">
        <f t="shared" si="29"/>
        <v>46662059.279406078</v>
      </c>
      <c r="Q83" s="172">
        <f t="shared" si="29"/>
        <v>46489783.382777087</v>
      </c>
      <c r="R83" s="173">
        <f t="shared" si="29"/>
        <v>46640651.048165932</v>
      </c>
      <c r="S83" s="327">
        <f t="shared" si="24"/>
        <v>0.32012270189433578</v>
      </c>
      <c r="T83" s="66"/>
      <c r="U83" s="66"/>
      <c r="V83" s="66"/>
    </row>
    <row r="84" spans="3:28">
      <c r="C84" s="53" t="s">
        <v>105</v>
      </c>
      <c r="D84" s="77">
        <f>D68+D73+D83</f>
        <v>94717858.680000007</v>
      </c>
      <c r="E84" s="77">
        <f t="shared" ref="E84:R84" si="31">E68+E73+E83</f>
        <v>105023219.76000001</v>
      </c>
      <c r="F84" s="77">
        <f t="shared" si="31"/>
        <v>108938866.25</v>
      </c>
      <c r="G84" s="77">
        <f t="shared" si="31"/>
        <v>121926224.60999998</v>
      </c>
      <c r="H84" s="77">
        <f t="shared" si="31"/>
        <v>124295989.95999999</v>
      </c>
      <c r="I84" s="196">
        <f t="shared" si="31"/>
        <v>109714389.5</v>
      </c>
      <c r="J84" s="79">
        <f t="shared" si="31"/>
        <v>117088505</v>
      </c>
      <c r="K84" s="79">
        <f t="shared" si="31"/>
        <v>112724372.09</v>
      </c>
      <c r="L84" s="397">
        <f t="shared" si="31"/>
        <v>128728528</v>
      </c>
      <c r="M84" s="369">
        <f t="shared" ref="M84:N84" si="32">M68+M73+M83</f>
        <v>128993166</v>
      </c>
      <c r="N84" s="79">
        <f t="shared" si="32"/>
        <v>47385755.359999999</v>
      </c>
      <c r="O84" s="103">
        <f t="shared" si="31"/>
        <v>131339742.14953321</v>
      </c>
      <c r="P84" s="103">
        <f t="shared" si="31"/>
        <v>137084052.48682043</v>
      </c>
      <c r="Q84" s="103">
        <f t="shared" si="31"/>
        <v>137075649.91914377</v>
      </c>
      <c r="R84" s="197">
        <f t="shared" si="31"/>
        <v>137319952.18704718</v>
      </c>
      <c r="S84" s="333">
        <f t="shared" si="24"/>
        <v>0.36735089795377224</v>
      </c>
      <c r="T84" s="80">
        <f>L84-J84</f>
        <v>11640023</v>
      </c>
    </row>
    <row r="85" spans="3:28">
      <c r="C85" s="114"/>
      <c r="D85" s="77"/>
      <c r="E85" s="77"/>
      <c r="F85" s="77"/>
      <c r="G85" s="77"/>
      <c r="H85" s="77"/>
      <c r="I85" s="196"/>
      <c r="J85" s="79"/>
      <c r="K85" s="79"/>
      <c r="L85" s="397"/>
      <c r="M85" s="369"/>
      <c r="N85" s="79"/>
      <c r="O85" s="77"/>
      <c r="P85" s="77"/>
      <c r="Q85" s="77"/>
      <c r="R85" s="198"/>
      <c r="S85" s="79"/>
      <c r="T85" s="195"/>
    </row>
    <row r="86" spans="3:28">
      <c r="C86" s="114" t="s">
        <v>106</v>
      </c>
      <c r="D86" s="155">
        <v>960036.98</v>
      </c>
      <c r="E86" s="155">
        <v>892233.02</v>
      </c>
      <c r="F86" s="155">
        <v>633719.6</v>
      </c>
      <c r="G86" s="155">
        <v>1016723.39</v>
      </c>
      <c r="H86" s="155">
        <v>963598.36</v>
      </c>
      <c r="I86" s="1">
        <v>527653.42000000004</v>
      </c>
      <c r="J86" s="62">
        <v>1046648</v>
      </c>
      <c r="K86" s="62">
        <v>739923</v>
      </c>
      <c r="L86" s="395">
        <v>1232713</v>
      </c>
      <c r="M86" s="367">
        <v>1431198</v>
      </c>
      <c r="N86" s="62">
        <v>349080.56</v>
      </c>
      <c r="O86" s="64">
        <v>1300000</v>
      </c>
      <c r="P86" s="64">
        <v>1400000</v>
      </c>
      <c r="Q86" s="64">
        <v>1400000</v>
      </c>
      <c r="R86" s="65">
        <v>1400000</v>
      </c>
      <c r="S86" s="334">
        <f t="shared" si="24"/>
        <v>0.24390794285626446</v>
      </c>
      <c r="T86" s="66">
        <f t="shared" ref="T86:T90" si="33">L86-J86</f>
        <v>186065</v>
      </c>
      <c r="U86" s="66"/>
      <c r="V86" s="66"/>
      <c r="W86" s="66"/>
      <c r="X86" s="66"/>
      <c r="Y86" s="66"/>
    </row>
    <row r="87" spans="3:28">
      <c r="C87" s="114" t="s">
        <v>107</v>
      </c>
      <c r="D87" s="155">
        <v>8823796.2899999991</v>
      </c>
      <c r="E87" s="155">
        <v>11172081.74</v>
      </c>
      <c r="F87" s="155">
        <v>8717940.9399999995</v>
      </c>
      <c r="G87" s="155">
        <v>11344926.32</v>
      </c>
      <c r="H87" s="155">
        <v>9800652.3399999999</v>
      </c>
      <c r="I87" s="1">
        <v>8265564.75</v>
      </c>
      <c r="J87" s="63">
        <v>9817186</v>
      </c>
      <c r="K87" s="63">
        <v>9057487</v>
      </c>
      <c r="L87" s="412">
        <v>13311858</v>
      </c>
      <c r="M87" s="374">
        <v>13865310</v>
      </c>
      <c r="N87" s="63">
        <f>5738674.47-91376.27</f>
        <v>5647298.2000000002</v>
      </c>
      <c r="O87" s="199">
        <v>13500000</v>
      </c>
      <c r="P87" s="199">
        <v>13500000</v>
      </c>
      <c r="Q87" s="64">
        <v>13500000</v>
      </c>
      <c r="R87" s="65">
        <v>13500000</v>
      </c>
      <c r="S87" s="321">
        <f t="shared" si="24"/>
        <v>0.40729693025255115</v>
      </c>
      <c r="T87" s="66">
        <f t="shared" si="33"/>
        <v>3494672</v>
      </c>
    </row>
    <row r="88" spans="3:28">
      <c r="C88" s="114" t="s">
        <v>108</v>
      </c>
      <c r="D88" s="155">
        <v>459576.73</v>
      </c>
      <c r="E88" s="155">
        <v>31941.59</v>
      </c>
      <c r="F88" s="155">
        <v>241770.8</v>
      </c>
      <c r="G88" s="155">
        <v>33071.949999999997</v>
      </c>
      <c r="H88" s="155">
        <v>11511.21</v>
      </c>
      <c r="I88" s="1">
        <v>256675.64</v>
      </c>
      <c r="J88" s="63">
        <v>740753</v>
      </c>
      <c r="K88" s="63">
        <v>229412</v>
      </c>
      <c r="L88" s="395">
        <v>994716</v>
      </c>
      <c r="M88" s="374">
        <v>984688</v>
      </c>
      <c r="N88" s="63">
        <v>69741.45</v>
      </c>
      <c r="O88" s="64">
        <v>950000</v>
      </c>
      <c r="P88" s="64">
        <v>1000000</v>
      </c>
      <c r="Q88" s="64">
        <v>1000000</v>
      </c>
      <c r="R88" s="65">
        <v>1000000</v>
      </c>
      <c r="S88" s="321">
        <f t="shared" si="24"/>
        <v>7.0825936743415169E-2</v>
      </c>
      <c r="T88" s="66">
        <f t="shared" si="33"/>
        <v>253963</v>
      </c>
      <c r="V88">
        <f>8331173-864358</f>
        <v>7466815</v>
      </c>
    </row>
    <row r="89" spans="3:28">
      <c r="C89" s="114" t="s">
        <v>109</v>
      </c>
      <c r="D89" s="155">
        <v>1828405.33</v>
      </c>
      <c r="E89" s="155">
        <v>2854129.1</v>
      </c>
      <c r="F89" s="155">
        <v>3841492</v>
      </c>
      <c r="G89" s="155">
        <v>4127439.51</v>
      </c>
      <c r="H89" s="155">
        <v>4606023.8099999996</v>
      </c>
      <c r="I89" s="1">
        <v>1638045</v>
      </c>
      <c r="J89" s="63">
        <v>2005445</v>
      </c>
      <c r="K89" s="63">
        <v>2466089.46</v>
      </c>
      <c r="L89" s="395">
        <v>3761568</v>
      </c>
      <c r="M89" s="374">
        <v>3520943</v>
      </c>
      <c r="N89" s="63">
        <v>0</v>
      </c>
      <c r="O89" s="64">
        <f>L89</f>
        <v>3761568</v>
      </c>
      <c r="P89" s="64">
        <f>O89</f>
        <v>3761568</v>
      </c>
      <c r="Q89" s="64">
        <f>P89</f>
        <v>3761568</v>
      </c>
      <c r="R89" s="65">
        <f>Q89</f>
        <v>3761568</v>
      </c>
      <c r="S89" s="321">
        <f t="shared" si="24"/>
        <v>0</v>
      </c>
      <c r="T89" s="66">
        <f t="shared" si="33"/>
        <v>1756123</v>
      </c>
      <c r="U89" s="160"/>
      <c r="V89" s="66"/>
    </row>
    <row r="90" spans="3:28">
      <c r="C90" s="114" t="s">
        <v>110</v>
      </c>
      <c r="D90" s="155">
        <v>3592244</v>
      </c>
      <c r="E90" s="155">
        <v>4740246</v>
      </c>
      <c r="F90" s="155">
        <v>3734411</v>
      </c>
      <c r="G90" s="155">
        <v>3478760.33</v>
      </c>
      <c r="H90" s="155">
        <v>2696531</v>
      </c>
      <c r="I90" s="1">
        <v>3333469</v>
      </c>
      <c r="J90" s="62">
        <v>3946531</v>
      </c>
      <c r="K90" s="62">
        <v>8036218.5599999996</v>
      </c>
      <c r="L90" s="395">
        <v>4323101</v>
      </c>
      <c r="M90" s="367">
        <f>4810230-1000000</f>
        <v>3810230</v>
      </c>
      <c r="N90" s="62">
        <v>0</v>
      </c>
      <c r="O90" s="68">
        <v>4363198</v>
      </c>
      <c r="P90" s="68">
        <v>4500000</v>
      </c>
      <c r="Q90" s="193">
        <v>4500000</v>
      </c>
      <c r="R90" s="194">
        <v>4500000</v>
      </c>
      <c r="S90" s="334">
        <f t="shared" si="24"/>
        <v>0</v>
      </c>
      <c r="T90" s="66">
        <f t="shared" si="33"/>
        <v>376570</v>
      </c>
    </row>
    <row r="91" spans="3:28">
      <c r="C91" s="200" t="s">
        <v>111</v>
      </c>
      <c r="D91" s="201">
        <f t="shared" ref="D91:R91" si="34">SUM(D86:D90)</f>
        <v>15664059.33</v>
      </c>
      <c r="E91" s="201">
        <f t="shared" si="34"/>
        <v>19690631.449999999</v>
      </c>
      <c r="F91" s="201">
        <f t="shared" si="34"/>
        <v>17169334.34</v>
      </c>
      <c r="G91" s="201">
        <f t="shared" si="34"/>
        <v>20000921.5</v>
      </c>
      <c r="H91" s="201">
        <f t="shared" si="34"/>
        <v>18078316.719999999</v>
      </c>
      <c r="I91" s="202">
        <f t="shared" si="34"/>
        <v>14021407.810000001</v>
      </c>
      <c r="J91" s="203">
        <f>SUM(J86:J90)</f>
        <v>17556563</v>
      </c>
      <c r="K91" s="203">
        <f>SUM(K86:K90)</f>
        <v>20529130.02</v>
      </c>
      <c r="L91" s="404">
        <f t="shared" si="34"/>
        <v>23623956</v>
      </c>
      <c r="M91" s="384">
        <f>SUM(M86:M90)</f>
        <v>23612369</v>
      </c>
      <c r="N91" s="203">
        <f>SUM(N86:N90)</f>
        <v>6066120.21</v>
      </c>
      <c r="O91" s="201">
        <f t="shared" si="34"/>
        <v>23874766</v>
      </c>
      <c r="P91" s="201">
        <f t="shared" si="34"/>
        <v>24161568</v>
      </c>
      <c r="Q91" s="201">
        <f t="shared" si="34"/>
        <v>24161568</v>
      </c>
      <c r="R91" s="204">
        <f t="shared" si="34"/>
        <v>24161568</v>
      </c>
      <c r="S91" s="335">
        <f t="shared" si="24"/>
        <v>0.25690434576894849</v>
      </c>
      <c r="T91" s="80">
        <f>L91-J91</f>
        <v>6067393</v>
      </c>
      <c r="V91" s="66"/>
    </row>
    <row r="92" spans="3:28">
      <c r="C92" s="114"/>
      <c r="D92" s="155"/>
      <c r="E92" s="155"/>
      <c r="F92" s="155"/>
      <c r="G92" s="155"/>
      <c r="H92" s="155"/>
      <c r="J92" s="205"/>
      <c r="K92" s="205"/>
      <c r="L92" s="413"/>
      <c r="M92" s="385"/>
      <c r="N92" s="205"/>
      <c r="O92" s="206"/>
      <c r="P92" s="206"/>
      <c r="Q92" s="206"/>
      <c r="R92" s="207"/>
      <c r="S92" s="205"/>
      <c r="T92" s="66"/>
    </row>
    <row r="93" spans="3:28">
      <c r="C93" s="132" t="s">
        <v>112</v>
      </c>
      <c r="D93" s="101">
        <f t="shared" ref="D93:R93" si="35">D84+D91</f>
        <v>110381918.01000001</v>
      </c>
      <c r="E93" s="101">
        <f t="shared" si="35"/>
        <v>124713851.21000001</v>
      </c>
      <c r="F93" s="101">
        <f t="shared" si="35"/>
        <v>126108200.59</v>
      </c>
      <c r="G93" s="101">
        <f t="shared" si="35"/>
        <v>141927146.10999998</v>
      </c>
      <c r="H93" s="101">
        <f t="shared" si="35"/>
        <v>142374306.68000001</v>
      </c>
      <c r="I93" s="99">
        <f t="shared" si="35"/>
        <v>123735797.31</v>
      </c>
      <c r="J93" s="120">
        <f>J84+J91</f>
        <v>134645068</v>
      </c>
      <c r="K93" s="120">
        <f>K84+K91</f>
        <v>133253502.11</v>
      </c>
      <c r="L93" s="404">
        <f t="shared" si="35"/>
        <v>152352484</v>
      </c>
      <c r="M93" s="375">
        <f>M84+M91</f>
        <v>152605535</v>
      </c>
      <c r="N93" s="120">
        <f>N84+N91</f>
        <v>53451875.57</v>
      </c>
      <c r="O93" s="101">
        <f t="shared" si="35"/>
        <v>155214508.14953321</v>
      </c>
      <c r="P93" s="101">
        <f t="shared" si="35"/>
        <v>161245620.48682043</v>
      </c>
      <c r="Q93" s="101">
        <f t="shared" si="35"/>
        <v>161237217.91914377</v>
      </c>
      <c r="R93" s="102">
        <f t="shared" si="35"/>
        <v>161481520.18704718</v>
      </c>
      <c r="S93" s="336">
        <f t="shared" si="24"/>
        <v>0.3502617095113883</v>
      </c>
      <c r="T93" s="80">
        <f>L93-J93</f>
        <v>17707416</v>
      </c>
      <c r="V93" s="66">
        <f>L93-L89-L90</f>
        <v>144267815</v>
      </c>
    </row>
    <row r="94" spans="3:28">
      <c r="C94" s="114"/>
      <c r="D94" s="155"/>
      <c r="E94" s="155"/>
      <c r="F94" s="155"/>
      <c r="G94" s="155"/>
      <c r="H94" s="155"/>
      <c r="J94" s="205"/>
      <c r="K94" s="205"/>
      <c r="L94" s="414"/>
      <c r="M94" s="385"/>
      <c r="N94" s="205"/>
      <c r="O94" s="206"/>
      <c r="P94" s="206"/>
      <c r="Q94" s="206"/>
      <c r="R94" s="207"/>
      <c r="S94" s="205"/>
      <c r="T94" s="52"/>
      <c r="AB94" s="208"/>
    </row>
    <row r="95" spans="3:28">
      <c r="C95" s="114" t="s">
        <v>113</v>
      </c>
      <c r="D95" s="209">
        <f t="shared" ref="D95:R95" si="36">D55-D93</f>
        <v>8446780.8599999845</v>
      </c>
      <c r="E95" s="209">
        <f t="shared" si="36"/>
        <v>1235.9099999815226</v>
      </c>
      <c r="F95" s="209">
        <f t="shared" si="36"/>
        <v>36689.640000000596</v>
      </c>
      <c r="G95" s="209">
        <f t="shared" si="36"/>
        <v>-1204610.4799999595</v>
      </c>
      <c r="H95" s="209">
        <f t="shared" si="36"/>
        <v>126493.00999999046</v>
      </c>
      <c r="I95" s="210">
        <f t="shared" si="36"/>
        <v>7763322.5900000036</v>
      </c>
      <c r="J95" s="211">
        <f t="shared" si="36"/>
        <v>2388740.0399999917</v>
      </c>
      <c r="K95" s="211">
        <f t="shared" si="36"/>
        <v>12046846.749999985</v>
      </c>
      <c r="L95" s="415">
        <f t="shared" si="36"/>
        <v>-0.43200001120567322</v>
      </c>
      <c r="M95" s="386">
        <f t="shared" ref="M95:N95" si="37">M55-M93</f>
        <v>-0.43200001120567322</v>
      </c>
      <c r="N95" s="317">
        <f t="shared" si="37"/>
        <v>-34113012.289999999</v>
      </c>
      <c r="O95" s="212">
        <f t="shared" si="36"/>
        <v>4144518.2120332122</v>
      </c>
      <c r="P95" s="212">
        <f t="shared" si="36"/>
        <v>23744.942796856165</v>
      </c>
      <c r="Q95" s="212">
        <f t="shared" si="36"/>
        <v>232147.51047351956</v>
      </c>
      <c r="R95" s="213">
        <f t="shared" si="36"/>
        <v>135629.24257010221</v>
      </c>
      <c r="S95" s="211"/>
      <c r="T95" s="214">
        <f>3536093-K95</f>
        <v>-8510753.7499999851</v>
      </c>
      <c r="U95" s="66"/>
      <c r="V95" s="66"/>
      <c r="W95" s="66"/>
    </row>
    <row r="96" spans="3:28">
      <c r="C96" s="114"/>
      <c r="D96" s="155"/>
      <c r="E96" s="155"/>
      <c r="F96" s="155"/>
      <c r="G96" s="155"/>
      <c r="H96" s="155"/>
      <c r="J96" s="211"/>
      <c r="K96" s="211"/>
      <c r="L96" s="416"/>
      <c r="M96" s="386"/>
      <c r="N96" s="211"/>
      <c r="O96" s="215"/>
      <c r="P96" s="215"/>
      <c r="Q96" s="215"/>
      <c r="R96" s="216"/>
      <c r="S96" s="211"/>
      <c r="T96" s="66"/>
    </row>
    <row r="97" spans="3:26">
      <c r="C97" s="53" t="s">
        <v>114</v>
      </c>
      <c r="D97" s="217">
        <f>10082202.29+3323561.25</f>
        <v>13405763.539999999</v>
      </c>
      <c r="E97" s="217">
        <f t="shared" ref="E97:R97" si="38">D98</f>
        <v>21852544.399999984</v>
      </c>
      <c r="F97" s="217">
        <f t="shared" si="38"/>
        <v>21853780.309999965</v>
      </c>
      <c r="G97" s="217">
        <f t="shared" si="38"/>
        <v>21890469.949999966</v>
      </c>
      <c r="H97" s="217">
        <f t="shared" si="38"/>
        <v>20685859.470000006</v>
      </c>
      <c r="I97" s="55">
        <f t="shared" si="38"/>
        <v>20812352.479999997</v>
      </c>
      <c r="J97" s="211">
        <f>I98-1</f>
        <v>28575672.07</v>
      </c>
      <c r="K97" s="211">
        <f>J97</f>
        <v>28575672.07</v>
      </c>
      <c r="L97" s="417">
        <f>K98</f>
        <v>40622518.819999985</v>
      </c>
      <c r="M97" s="386">
        <f>L98</f>
        <v>40622519.387999974</v>
      </c>
      <c r="N97" s="211">
        <f>M97</f>
        <v>40622519.387999974</v>
      </c>
      <c r="O97" s="215">
        <f>L98</f>
        <v>40622519.387999974</v>
      </c>
      <c r="P97" s="215">
        <f t="shared" si="38"/>
        <v>44767037.600033186</v>
      </c>
      <c r="Q97" s="215">
        <f t="shared" si="38"/>
        <v>44790782.542830043</v>
      </c>
      <c r="R97" s="216">
        <f t="shared" si="38"/>
        <v>45022930.053303562</v>
      </c>
      <c r="S97" s="211"/>
      <c r="T97" s="66"/>
      <c r="W97">
        <v>42040513</v>
      </c>
      <c r="X97" s="316">
        <f>W97-M97</f>
        <v>1417993.6120000258</v>
      </c>
    </row>
    <row r="98" spans="3:26">
      <c r="C98" s="218" t="s">
        <v>115</v>
      </c>
      <c r="D98" s="219">
        <f t="shared" ref="D98:R98" si="39">+D95+D97</f>
        <v>21852544.399999984</v>
      </c>
      <c r="E98" s="219">
        <f t="shared" si="39"/>
        <v>21853780.309999965</v>
      </c>
      <c r="F98" s="219">
        <f t="shared" si="39"/>
        <v>21890469.949999966</v>
      </c>
      <c r="G98" s="219">
        <f t="shared" si="39"/>
        <v>20685859.470000006</v>
      </c>
      <c r="H98" s="219">
        <f t="shared" si="39"/>
        <v>20812352.479999997</v>
      </c>
      <c r="I98" s="220">
        <f>+I95+I97-2</f>
        <v>28575673.07</v>
      </c>
      <c r="J98" s="221">
        <f t="shared" si="39"/>
        <v>30964412.109999992</v>
      </c>
      <c r="K98" s="221">
        <f t="shared" si="39"/>
        <v>40622518.819999985</v>
      </c>
      <c r="L98" s="418">
        <f>+L95+L97+1</f>
        <v>40622519.387999974</v>
      </c>
      <c r="M98" s="387">
        <f t="shared" ref="M98:N98" si="40">+M95+M97</f>
        <v>40622518.955999963</v>
      </c>
      <c r="N98" s="318">
        <f t="shared" si="40"/>
        <v>6509507.0979999751</v>
      </c>
      <c r="O98" s="219">
        <f t="shared" si="39"/>
        <v>44767037.600033186</v>
      </c>
      <c r="P98" s="219">
        <f t="shared" si="39"/>
        <v>44790782.542830043</v>
      </c>
      <c r="Q98" s="219">
        <f t="shared" si="39"/>
        <v>45022930.053303562</v>
      </c>
      <c r="R98" s="222">
        <f t="shared" si="39"/>
        <v>45158559.295873664</v>
      </c>
      <c r="S98" s="221"/>
      <c r="T98" s="66"/>
      <c r="U98" s="223"/>
    </row>
    <row r="99" spans="3:26">
      <c r="C99" s="53"/>
      <c r="D99" s="215"/>
      <c r="E99" s="215"/>
      <c r="F99" s="215"/>
      <c r="G99" s="215"/>
      <c r="H99" s="315"/>
      <c r="I99" s="210"/>
      <c r="J99" s="224"/>
      <c r="K99" s="215"/>
      <c r="L99" s="417"/>
      <c r="M99" s="224"/>
      <c r="N99" s="215"/>
      <c r="O99" s="224"/>
      <c r="P99" s="215"/>
      <c r="Q99" s="215"/>
      <c r="R99" s="216"/>
      <c r="S99" s="311"/>
      <c r="T99" s="66"/>
    </row>
    <row r="100" spans="3:26">
      <c r="C100" s="53" t="s">
        <v>116</v>
      </c>
      <c r="D100" s="225">
        <f t="shared" ref="D100:K100" si="41">D98/D93</f>
        <v>0.19797213886082557</v>
      </c>
      <c r="E100" s="225">
        <f t="shared" si="41"/>
        <v>0.17523138045990877</v>
      </c>
      <c r="F100" s="226">
        <f t="shared" si="41"/>
        <v>0.17358482515478707</v>
      </c>
      <c r="G100" s="226">
        <f t="shared" si="41"/>
        <v>0.14574984445870226</v>
      </c>
      <c r="H100" s="226">
        <f t="shared" si="41"/>
        <v>0.14618053611862544</v>
      </c>
      <c r="I100" s="226">
        <f t="shared" si="41"/>
        <v>0.23094103477919392</v>
      </c>
      <c r="J100" s="226">
        <f t="shared" si="41"/>
        <v>0.22997063739460544</v>
      </c>
      <c r="K100" s="226">
        <f t="shared" si="41"/>
        <v>0.30485141611112276</v>
      </c>
      <c r="L100" s="419">
        <f>+L98/L93</f>
        <v>0.26663509725250018</v>
      </c>
      <c r="M100" s="226">
        <f t="shared" ref="M100:N100" si="42">M98/M93</f>
        <v>0.26619295922654418</v>
      </c>
      <c r="N100" s="302">
        <f t="shared" si="42"/>
        <v>0.12178257598230009</v>
      </c>
      <c r="O100" s="226">
        <f>+O98/O93</f>
        <v>0.2884204455739714</v>
      </c>
      <c r="P100" s="226">
        <f>+P98/P93</f>
        <v>0.27777983927626154</v>
      </c>
      <c r="Q100" s="226">
        <f>+Q98/Q93</f>
        <v>0.2792341038523834</v>
      </c>
      <c r="R100" s="227">
        <f>+R98/R93</f>
        <v>0.27965156163730454</v>
      </c>
      <c r="S100" s="312"/>
      <c r="T100" s="66">
        <v>2500000</v>
      </c>
      <c r="U100" s="228"/>
      <c r="V100" s="229"/>
      <c r="W100" s="229"/>
      <c r="X100" s="229"/>
      <c r="Y100" s="230"/>
      <c r="Z100" s="229"/>
    </row>
    <row r="101" spans="3:26">
      <c r="C101" s="231" t="s">
        <v>117</v>
      </c>
      <c r="D101" s="224"/>
      <c r="E101" s="224"/>
      <c r="F101" s="224"/>
      <c r="G101" s="224">
        <f t="shared" ref="G101:H101" si="43">G84/G93</f>
        <v>0.8590761383696226</v>
      </c>
      <c r="H101" s="224">
        <f t="shared" si="43"/>
        <v>0.8730226180441899</v>
      </c>
      <c r="I101" s="224">
        <f t="shared" ref="I101:R101" si="44">I84/I93</f>
        <v>0.88668268912615777</v>
      </c>
      <c r="J101" s="224">
        <f t="shared" si="44"/>
        <v>0.86960856969525246</v>
      </c>
      <c r="K101" s="224">
        <f t="shared" si="44"/>
        <v>0.84593928343396696</v>
      </c>
      <c r="L101" s="416">
        <f t="shared" si="44"/>
        <v>0.84493881963880546</v>
      </c>
      <c r="M101" s="224">
        <f t="shared" ref="M101:N101" si="45">M84/M93</f>
        <v>0.84527187038137253</v>
      </c>
      <c r="N101" s="303">
        <f t="shared" si="45"/>
        <v>0.88651249099658114</v>
      </c>
      <c r="O101" s="224">
        <f t="shared" si="44"/>
        <v>0.84618212379348512</v>
      </c>
      <c r="P101" s="232">
        <f t="shared" si="44"/>
        <v>0.85015674889616699</v>
      </c>
      <c r="Q101" s="232">
        <f t="shared" si="44"/>
        <v>0.85014894010316899</v>
      </c>
      <c r="R101" s="233">
        <f t="shared" si="44"/>
        <v>0.85037564687269984</v>
      </c>
      <c r="S101" s="313"/>
      <c r="T101" s="66"/>
    </row>
    <row r="102" spans="3:26">
      <c r="C102" s="231" t="s">
        <v>118</v>
      </c>
      <c r="E102" s="234"/>
      <c r="F102" s="234"/>
      <c r="G102" s="224">
        <f t="shared" ref="G102:H102" si="46">G84/G55</f>
        <v>0.86642998624313494</v>
      </c>
      <c r="H102" s="224">
        <f t="shared" si="46"/>
        <v>0.8722476661913251</v>
      </c>
      <c r="I102" s="224">
        <f t="shared" ref="I102:R102" si="47">I84/I55</f>
        <v>0.83433554219551853</v>
      </c>
      <c r="J102" s="224">
        <f t="shared" si="47"/>
        <v>0.85444976443931275</v>
      </c>
      <c r="K102" s="224">
        <f t="shared" si="47"/>
        <v>0.77580248756740677</v>
      </c>
      <c r="L102" s="416">
        <f t="shared" si="47"/>
        <v>0.84493882203465476</v>
      </c>
      <c r="M102" s="224">
        <f t="shared" ref="M102:N102" si="48">M84/M55</f>
        <v>0.84527187277419169</v>
      </c>
      <c r="N102" s="303">
        <f t="shared" si="48"/>
        <v>2.4502864865385199</v>
      </c>
      <c r="O102" s="224">
        <f t="shared" si="47"/>
        <v>0.82417510415468509</v>
      </c>
      <c r="P102" s="232">
        <f t="shared" si="47"/>
        <v>0.85003157370671223</v>
      </c>
      <c r="Q102" s="232">
        <f t="shared" si="47"/>
        <v>0.84892666515676329</v>
      </c>
      <c r="R102" s="233">
        <f t="shared" si="47"/>
        <v>0.84966201094178251</v>
      </c>
      <c r="S102" s="313"/>
      <c r="T102" s="66"/>
      <c r="U102" s="235"/>
      <c r="V102" s="235"/>
      <c r="W102" s="52"/>
    </row>
    <row r="103" spans="3:26" ht="13.5" customHeight="1">
      <c r="C103" s="236" t="s">
        <v>119</v>
      </c>
      <c r="D103" s="37"/>
      <c r="E103" s="37"/>
      <c r="F103" s="37"/>
      <c r="G103" s="237">
        <f t="shared" ref="G103:H103" si="49">G84/SUM(G84:G88)</f>
        <v>0.90772309156395281</v>
      </c>
      <c r="H103" s="237">
        <f t="shared" si="49"/>
        <v>0.92022194307236671</v>
      </c>
      <c r="I103" s="237">
        <f>I84/SUM(I84:I88)</f>
        <v>0.92379953334641984</v>
      </c>
      <c r="J103" s="237">
        <f t="shared" ref="J103:Q103" si="50">J84/SUM(J84:J88)</f>
        <v>0.90982742881024259</v>
      </c>
      <c r="K103" s="237">
        <f t="shared" si="50"/>
        <v>0.91831589033139316</v>
      </c>
      <c r="L103" s="420">
        <f t="shared" si="50"/>
        <v>0.89228860920919884</v>
      </c>
      <c r="M103" s="237">
        <f t="shared" ref="M103:N103" si="51">M84/SUM(M84:M88)</f>
        <v>0.88792794698351518</v>
      </c>
      <c r="N103" s="304">
        <f t="shared" si="51"/>
        <v>0.88651249099658103</v>
      </c>
      <c r="O103" s="237">
        <f t="shared" si="50"/>
        <v>0.89292251267944733</v>
      </c>
      <c r="P103" s="237">
        <f t="shared" si="50"/>
        <v>0.8960675982787828</v>
      </c>
      <c r="Q103" s="237">
        <f t="shared" si="50"/>
        <v>0.89606188953337318</v>
      </c>
      <c r="R103" s="238">
        <f t="shared" ref="R103" si="52">R84/SUM(R84:R88)</f>
        <v>0.89622761413872742</v>
      </c>
      <c r="S103" s="314"/>
    </row>
    <row r="104" spans="3:26">
      <c r="C104" s="134"/>
      <c r="J104" s="239"/>
      <c r="K104" s="239"/>
      <c r="L104" s="111"/>
      <c r="M104" s="239"/>
      <c r="N104" s="305"/>
      <c r="O104" s="112"/>
      <c r="R104" s="240"/>
      <c r="S104" s="239"/>
    </row>
    <row r="105" spans="3:26" hidden="1">
      <c r="C105" s="114"/>
      <c r="H105" s="155"/>
      <c r="J105" s="239"/>
      <c r="K105" s="239"/>
      <c r="L105" s="111"/>
      <c r="M105" s="239"/>
      <c r="N105" s="305"/>
      <c r="O105" s="112"/>
      <c r="R105" s="240"/>
      <c r="S105" s="239"/>
      <c r="U105" s="4"/>
      <c r="V105" s="4"/>
      <c r="W105" s="229"/>
      <c r="X105" s="67"/>
    </row>
    <row r="106" spans="3:26" hidden="1">
      <c r="C106" s="114" t="s">
        <v>120</v>
      </c>
      <c r="J106" s="239">
        <f t="shared" ref="J106:R106" si="53">J98-J14</f>
        <v>25128003.109999992</v>
      </c>
      <c r="K106" s="239">
        <f t="shared" si="53"/>
        <v>40622518.819999985</v>
      </c>
      <c r="L106" s="241">
        <f t="shared" si="53"/>
        <v>32687444.659999974</v>
      </c>
      <c r="M106" s="239">
        <f t="shared" ref="M106:N106" si="54">M98-M14</f>
        <v>32687444.227999963</v>
      </c>
      <c r="N106" s="305">
        <f t="shared" si="54"/>
        <v>6509507.0979999751</v>
      </c>
      <c r="O106" s="239">
        <f t="shared" si="53"/>
        <v>36405055.851666786</v>
      </c>
      <c r="P106" s="239">
        <f t="shared" si="53"/>
        <v>44790782.542830043</v>
      </c>
      <c r="Q106" s="239">
        <f t="shared" si="53"/>
        <v>45022930.053303562</v>
      </c>
      <c r="R106" s="242">
        <f t="shared" si="53"/>
        <v>45158559.295873664</v>
      </c>
      <c r="S106" s="239"/>
      <c r="U106" s="4"/>
      <c r="V106" s="4"/>
      <c r="W106" s="229"/>
      <c r="X106" s="67"/>
    </row>
    <row r="107" spans="3:26" hidden="1">
      <c r="C107" s="243" t="s">
        <v>116</v>
      </c>
      <c r="D107" s="37"/>
      <c r="E107" s="37"/>
      <c r="F107" s="37"/>
      <c r="G107" s="37"/>
      <c r="H107" s="37"/>
      <c r="I107" s="244"/>
      <c r="J107" s="245">
        <f>J106/J93</f>
        <v>0.18662401440504298</v>
      </c>
      <c r="K107" s="245">
        <f t="shared" ref="K107:R107" si="55">K106/K93</f>
        <v>0.30485141611112276</v>
      </c>
      <c r="L107" s="246">
        <f t="shared" si="55"/>
        <v>0.21455143888563033</v>
      </c>
      <c r="M107" s="245">
        <f>M106/M93</f>
        <v>0.21419566615326216</v>
      </c>
      <c r="N107" s="306">
        <f t="shared" ref="N107" si="56">N106/N93</f>
        <v>0.12178257598230009</v>
      </c>
      <c r="O107" s="245">
        <f t="shared" si="55"/>
        <v>0.23454673332852533</v>
      </c>
      <c r="P107" s="245">
        <f t="shared" si="55"/>
        <v>0.27777983927626154</v>
      </c>
      <c r="Q107" s="245">
        <f t="shared" si="55"/>
        <v>0.2792341038523834</v>
      </c>
      <c r="R107" s="247">
        <f t="shared" si="55"/>
        <v>0.27965156163730454</v>
      </c>
      <c r="S107" s="245"/>
      <c r="U107" s="4"/>
      <c r="V107" s="4"/>
      <c r="W107" s="229"/>
      <c r="X107" s="67"/>
    </row>
    <row r="108" spans="3:26">
      <c r="L108" s="3"/>
      <c r="U108" s="4"/>
      <c r="V108" s="4"/>
      <c r="W108" s="229"/>
      <c r="X108" s="67"/>
    </row>
    <row r="110" spans="3:26">
      <c r="J110" s="248"/>
      <c r="K110" s="248"/>
      <c r="M110" s="248"/>
      <c r="N110" s="248"/>
      <c r="U110" s="4"/>
      <c r="V110" s="4"/>
      <c r="W110" s="52"/>
      <c r="X110" s="67"/>
    </row>
    <row r="111" spans="3:26">
      <c r="U111" s="4"/>
      <c r="V111" s="4"/>
      <c r="W111" s="52"/>
      <c r="X111" s="67"/>
    </row>
    <row r="112" spans="3:26">
      <c r="U112" s="4"/>
      <c r="V112" s="4"/>
      <c r="W112" s="52"/>
      <c r="X112" s="67"/>
    </row>
    <row r="113" spans="21:24">
      <c r="U113" s="82"/>
      <c r="V113" s="82"/>
      <c r="W113" s="52"/>
      <c r="X113" s="67"/>
    </row>
    <row r="116" spans="21:24">
      <c r="U116" s="4"/>
      <c r="V116" s="4"/>
      <c r="W116" s="4"/>
      <c r="X116" s="67"/>
    </row>
    <row r="117" spans="21:24">
      <c r="U117" s="4"/>
      <c r="V117" s="4"/>
      <c r="W117" s="4"/>
      <c r="X117" s="67"/>
    </row>
    <row r="118" spans="21:24">
      <c r="U118" s="4"/>
      <c r="V118" s="4"/>
      <c r="W118" s="4"/>
      <c r="X118" s="67"/>
    </row>
    <row r="119" spans="21:24">
      <c r="U119" s="4"/>
      <c r="V119" s="4"/>
      <c r="W119" s="4"/>
      <c r="X119" s="67"/>
    </row>
    <row r="120" spans="21:24">
      <c r="U120" s="250"/>
      <c r="V120" s="250"/>
      <c r="W120" s="250"/>
      <c r="X120" s="251"/>
    </row>
    <row r="122" spans="21:24">
      <c r="U122" s="52"/>
      <c r="V122" s="52"/>
      <c r="W122" s="250"/>
      <c r="X122" s="67"/>
    </row>
    <row r="123" spans="21:24">
      <c r="W123" s="52"/>
    </row>
    <row r="127" spans="21:24">
      <c r="W127" s="66"/>
    </row>
    <row r="140" spans="20:21">
      <c r="T140" s="67"/>
      <c r="U140" s="67"/>
    </row>
    <row r="164" spans="3:19" ht="15" thickBot="1"/>
    <row r="165" spans="3:19" ht="15" thickBot="1">
      <c r="C165" s="252" t="s">
        <v>121</v>
      </c>
      <c r="D165" s="253"/>
      <c r="E165" s="253"/>
      <c r="F165" s="253"/>
      <c r="G165" s="253"/>
      <c r="H165" s="253"/>
      <c r="I165" s="254"/>
      <c r="J165" s="255"/>
      <c r="K165" s="255"/>
      <c r="L165" s="256"/>
      <c r="M165" s="255"/>
      <c r="N165" s="255"/>
      <c r="O165" s="257"/>
      <c r="P165" s="258"/>
      <c r="Q165" s="258"/>
      <c r="R165" s="258"/>
    </row>
    <row r="166" spans="3:19">
      <c r="C166" s="259" t="s">
        <v>122</v>
      </c>
      <c r="D166" s="260"/>
      <c r="E166" s="260"/>
      <c r="F166" s="260"/>
      <c r="G166" s="260"/>
      <c r="H166" s="260"/>
      <c r="I166" s="261">
        <v>3314992.19</v>
      </c>
      <c r="J166" s="262">
        <f t="shared" ref="J166:R166" si="57">J90-30000</f>
        <v>3916531</v>
      </c>
      <c r="K166" s="262">
        <f t="shared" si="57"/>
        <v>8006218.5599999996</v>
      </c>
      <c r="L166" s="263">
        <f t="shared" si="57"/>
        <v>4293101</v>
      </c>
      <c r="M166" s="262">
        <f t="shared" ref="M166:N166" si="58">M90-30000</f>
        <v>3780230</v>
      </c>
      <c r="N166" s="262">
        <f t="shared" si="58"/>
        <v>-30000</v>
      </c>
      <c r="O166" s="264">
        <f t="shared" si="57"/>
        <v>4333198</v>
      </c>
      <c r="P166" s="265">
        <f t="shared" si="57"/>
        <v>4470000</v>
      </c>
      <c r="Q166" s="265">
        <f t="shared" si="57"/>
        <v>4470000</v>
      </c>
      <c r="R166" s="265">
        <f t="shared" si="57"/>
        <v>4470000</v>
      </c>
      <c r="S166" s="266"/>
    </row>
    <row r="167" spans="3:19">
      <c r="C167" s="267" t="s">
        <v>123</v>
      </c>
      <c r="D167" s="268"/>
      <c r="E167" s="268"/>
      <c r="F167" s="268"/>
      <c r="G167" s="268"/>
      <c r="H167" s="268"/>
      <c r="I167" s="269"/>
      <c r="J167" s="270" t="e">
        <f>ROUND(J182*1.48%,0)</f>
        <v>#REF!</v>
      </c>
      <c r="K167" s="270" t="e">
        <f>ROUND(K182*1.48%,0)</f>
        <v>#REF!</v>
      </c>
      <c r="L167" s="271" t="e">
        <f>ROUND(L182*1.65%,0)</f>
        <v>#REF!</v>
      </c>
      <c r="M167" s="270" t="e">
        <f>ROUND(M182*1.48%,0)</f>
        <v>#REF!</v>
      </c>
      <c r="N167" s="270" t="e">
        <f>ROUND(N182*1.48%,0)</f>
        <v>#REF!</v>
      </c>
      <c r="O167" s="272" t="e">
        <f>ROUND(O182*1.9%,0)</f>
        <v>#REF!</v>
      </c>
      <c r="P167" s="273" t="e">
        <f>ROUND(P182*2.1%,0)</f>
        <v>#REF!</v>
      </c>
      <c r="Q167" s="273" t="e">
        <f>ROUND(Q182*2.1%,0)</f>
        <v>#REF!</v>
      </c>
      <c r="R167" s="273" t="e">
        <f>ROUND(R182*2.1%,0)</f>
        <v>#REF!</v>
      </c>
      <c r="S167" s="266"/>
    </row>
    <row r="168" spans="3:19">
      <c r="C168" s="267" t="s">
        <v>124</v>
      </c>
      <c r="D168" s="268"/>
      <c r="E168" s="268"/>
      <c r="F168" s="268"/>
      <c r="G168" s="268"/>
      <c r="H168" s="268"/>
      <c r="I168" s="269">
        <v>3333469</v>
      </c>
      <c r="J168" s="270" t="e">
        <f>#REF!</f>
        <v>#REF!</v>
      </c>
      <c r="K168" s="270" t="e">
        <f>#REF!</f>
        <v>#REF!</v>
      </c>
      <c r="L168" s="271" t="e">
        <f>J168</f>
        <v>#REF!</v>
      </c>
      <c r="M168" s="270" t="e">
        <f>#REF!</f>
        <v>#REF!</v>
      </c>
      <c r="N168" s="270" t="e">
        <f>#REF!</f>
        <v>#REF!</v>
      </c>
      <c r="O168" s="272" t="e">
        <f>L168</f>
        <v>#REF!</v>
      </c>
      <c r="P168" s="274" t="e">
        <f>O168</f>
        <v>#REF!</v>
      </c>
      <c r="Q168" s="274" t="e">
        <f>P168</f>
        <v>#REF!</v>
      </c>
      <c r="R168" s="274" t="e">
        <f>Q168</f>
        <v>#REF!</v>
      </c>
      <c r="S168" s="52"/>
    </row>
    <row r="169" spans="3:19">
      <c r="C169" s="275" t="s">
        <v>125</v>
      </c>
      <c r="D169" s="276"/>
      <c r="E169" s="276"/>
      <c r="F169" s="276"/>
      <c r="G169" s="276"/>
      <c r="H169" s="276"/>
      <c r="I169" s="277">
        <f t="shared" ref="I169:P169" si="59">SUM(I166:I168)</f>
        <v>6648461.1899999995</v>
      </c>
      <c r="J169" s="277" t="e">
        <f t="shared" si="59"/>
        <v>#REF!</v>
      </c>
      <c r="K169" s="277" t="e">
        <f t="shared" ref="K169" si="60">SUM(K166:K168)</f>
        <v>#REF!</v>
      </c>
      <c r="L169" s="278" t="e">
        <f t="shared" si="59"/>
        <v>#REF!</v>
      </c>
      <c r="M169" s="277" t="e">
        <f t="shared" ref="M169" si="61">SUM(M166:M168)</f>
        <v>#REF!</v>
      </c>
      <c r="N169" s="277" t="e">
        <f t="shared" ref="N169" si="62">SUM(N166:N168)</f>
        <v>#REF!</v>
      </c>
      <c r="O169" s="279" t="e">
        <f t="shared" si="59"/>
        <v>#REF!</v>
      </c>
      <c r="P169" s="280" t="e">
        <f t="shared" si="59"/>
        <v>#REF!</v>
      </c>
      <c r="Q169" s="280" t="e">
        <f t="shared" ref="Q169:R169" si="63">SUM(Q166:Q168)</f>
        <v>#REF!</v>
      </c>
      <c r="R169" s="280" t="e">
        <f t="shared" si="63"/>
        <v>#REF!</v>
      </c>
      <c r="S169" s="281"/>
    </row>
    <row r="170" spans="3:19">
      <c r="C170" s="267"/>
      <c r="D170" s="268"/>
      <c r="E170" s="268"/>
      <c r="F170" s="268"/>
      <c r="G170" s="268"/>
      <c r="H170" s="268"/>
      <c r="I170" s="269"/>
      <c r="J170" s="270"/>
      <c r="K170" s="270"/>
      <c r="L170" s="271"/>
      <c r="M170" s="270"/>
      <c r="N170" s="270"/>
      <c r="O170" s="272"/>
      <c r="P170" s="282"/>
      <c r="Q170" s="282"/>
      <c r="R170" s="282"/>
    </row>
    <row r="171" spans="3:19">
      <c r="C171" s="267">
        <v>33</v>
      </c>
      <c r="D171" s="268"/>
      <c r="E171" s="268"/>
      <c r="F171" s="268"/>
      <c r="G171" s="268"/>
      <c r="H171" s="268"/>
      <c r="I171" s="269">
        <v>27358.2</v>
      </c>
      <c r="J171" s="270" t="e">
        <f>#REF!</f>
        <v>#REF!</v>
      </c>
      <c r="K171" s="270" t="e">
        <f>#REF!</f>
        <v>#REF!</v>
      </c>
      <c r="L171" s="271" t="e">
        <f>J171</f>
        <v>#REF!</v>
      </c>
      <c r="M171" s="270" t="e">
        <f>#REF!</f>
        <v>#REF!</v>
      </c>
      <c r="N171" s="270" t="e">
        <f>#REF!</f>
        <v>#REF!</v>
      </c>
      <c r="O171" s="272" t="e">
        <f>L171</f>
        <v>#REF!</v>
      </c>
      <c r="P171" s="273" t="e">
        <f t="shared" ref="P171:R171" si="64">O171</f>
        <v>#REF!</v>
      </c>
      <c r="Q171" s="273" t="e">
        <f t="shared" si="64"/>
        <v>#REF!</v>
      </c>
      <c r="R171" s="273" t="e">
        <f t="shared" si="64"/>
        <v>#REF!</v>
      </c>
      <c r="S171" s="266"/>
    </row>
    <row r="172" spans="3:19">
      <c r="C172" s="267">
        <v>34</v>
      </c>
      <c r="D172" s="268"/>
      <c r="E172" s="268"/>
      <c r="F172" s="268"/>
      <c r="G172" s="268"/>
      <c r="H172" s="268"/>
      <c r="I172" s="269">
        <v>5899944.54</v>
      </c>
      <c r="J172" s="270" t="e">
        <f>ROUND((#REF!*[1]Assumptions!I68)+#REF!,0)</f>
        <v>#REF!</v>
      </c>
      <c r="K172" s="270" t="e">
        <f>ROUND((#REF!*[1]Assumptions!J68)+#REF!,0)</f>
        <v>#REF!</v>
      </c>
      <c r="L172" s="271" t="e">
        <f>ROUND((J172*[1]Assumptions!J68)+J172,0)</f>
        <v>#REF!</v>
      </c>
      <c r="M172" s="270" t="e">
        <f>ROUND((#REF!*[1]Assumptions!L68)+#REF!,0)</f>
        <v>#REF!</v>
      </c>
      <c r="N172" s="270" t="e">
        <f>ROUND((#REF!*[1]Assumptions!M68)+#REF!,0)</f>
        <v>#REF!</v>
      </c>
      <c r="O172" s="272" t="e">
        <f>ROUND((L172*[1]Assumptions!K68)+L172,0)</f>
        <v>#REF!</v>
      </c>
      <c r="P172" s="273" t="e">
        <f>ROUND((O172*[1]Assumptions!L68)+O172,0)</f>
        <v>#REF!</v>
      </c>
      <c r="Q172" s="273" t="e">
        <f>ROUND((P172*[1]Assumptions!O68)+P172,0)</f>
        <v>#REF!</v>
      </c>
      <c r="R172" s="273" t="e">
        <f>ROUND((Q172*[1]Assumptions!P68)+Q172,0)</f>
        <v>#REF!</v>
      </c>
      <c r="S172" s="266"/>
    </row>
    <row r="173" spans="3:19">
      <c r="C173" s="275" t="s">
        <v>126</v>
      </c>
      <c r="D173" s="276"/>
      <c r="E173" s="276"/>
      <c r="F173" s="276"/>
      <c r="G173" s="276"/>
      <c r="H173" s="276"/>
      <c r="I173" s="277">
        <f>SUM(I171:I172)</f>
        <v>5927302.7400000002</v>
      </c>
      <c r="J173" s="277" t="e">
        <f t="shared" ref="J173:R173" si="65">SUM(J171:J172)</f>
        <v>#REF!</v>
      </c>
      <c r="K173" s="277" t="e">
        <f t="shared" si="65"/>
        <v>#REF!</v>
      </c>
      <c r="L173" s="278" t="e">
        <f t="shared" si="65"/>
        <v>#REF!</v>
      </c>
      <c r="M173" s="277" t="e">
        <f t="shared" ref="M173:N173" si="66">SUM(M171:M172)</f>
        <v>#REF!</v>
      </c>
      <c r="N173" s="277" t="e">
        <f t="shared" si="66"/>
        <v>#REF!</v>
      </c>
      <c r="O173" s="279" t="e">
        <f t="shared" si="65"/>
        <v>#REF!</v>
      </c>
      <c r="P173" s="280" t="e">
        <f t="shared" si="65"/>
        <v>#REF!</v>
      </c>
      <c r="Q173" s="280" t="e">
        <f t="shared" si="65"/>
        <v>#REF!</v>
      </c>
      <c r="R173" s="280" t="e">
        <f t="shared" si="65"/>
        <v>#REF!</v>
      </c>
      <c r="S173" s="281"/>
    </row>
    <row r="174" spans="3:19">
      <c r="C174" s="267"/>
      <c r="D174" s="268"/>
      <c r="E174" s="268"/>
      <c r="F174" s="268"/>
      <c r="G174" s="268"/>
      <c r="H174" s="268"/>
      <c r="I174" s="269"/>
      <c r="J174" s="270"/>
      <c r="K174" s="270"/>
      <c r="L174" s="271"/>
      <c r="M174" s="270"/>
      <c r="N174" s="270"/>
      <c r="O174" s="272"/>
      <c r="P174" s="282"/>
      <c r="Q174" s="282"/>
      <c r="R174" s="282"/>
    </row>
    <row r="175" spans="3:19">
      <c r="C175" s="267" t="s">
        <v>127</v>
      </c>
      <c r="D175" s="268"/>
      <c r="E175" s="268"/>
      <c r="F175" s="268"/>
      <c r="G175" s="268"/>
      <c r="H175" s="268"/>
      <c r="I175" s="270">
        <v>1000000</v>
      </c>
      <c r="J175" s="270" t="e">
        <f>#REF!</f>
        <v>#REF!</v>
      </c>
      <c r="K175" s="270" t="e">
        <f>#REF!</f>
        <v>#REF!</v>
      </c>
      <c r="L175" s="271" t="e">
        <f>J175</f>
        <v>#REF!</v>
      </c>
      <c r="M175" s="270" t="e">
        <f>#REF!</f>
        <v>#REF!</v>
      </c>
      <c r="N175" s="270" t="e">
        <f>#REF!</f>
        <v>#REF!</v>
      </c>
      <c r="O175" s="272" t="e">
        <f>L175</f>
        <v>#REF!</v>
      </c>
      <c r="P175" s="274" t="e">
        <f>O175</f>
        <v>#REF!</v>
      </c>
      <c r="Q175" s="274" t="e">
        <f>P175</f>
        <v>#REF!</v>
      </c>
      <c r="R175" s="274" t="e">
        <f>Q175</f>
        <v>#REF!</v>
      </c>
      <c r="S175" s="52"/>
    </row>
    <row r="176" spans="3:19">
      <c r="C176" s="267"/>
      <c r="D176" s="268"/>
      <c r="E176" s="268"/>
      <c r="F176" s="268"/>
      <c r="G176" s="268"/>
      <c r="H176" s="268"/>
      <c r="I176" s="269"/>
      <c r="J176" s="270"/>
      <c r="K176" s="270"/>
      <c r="L176" s="271"/>
      <c r="M176" s="270"/>
      <c r="N176" s="270"/>
      <c r="O176" s="272"/>
      <c r="P176" s="282"/>
      <c r="Q176" s="282"/>
      <c r="R176" s="282"/>
    </row>
    <row r="177" spans="3:19">
      <c r="C177" s="275" t="s">
        <v>112</v>
      </c>
      <c r="D177" s="276"/>
      <c r="E177" s="276"/>
      <c r="F177" s="276"/>
      <c r="G177" s="276"/>
      <c r="H177" s="276"/>
      <c r="I177" s="270">
        <f>SUM(I175,I173)</f>
        <v>6927302.7400000002</v>
      </c>
      <c r="J177" s="270" t="e">
        <f t="shared" ref="J177:R177" si="67">SUM(J175,J173)</f>
        <v>#REF!</v>
      </c>
      <c r="K177" s="270" t="e">
        <f t="shared" si="67"/>
        <v>#REF!</v>
      </c>
      <c r="L177" s="271" t="e">
        <f t="shared" si="67"/>
        <v>#REF!</v>
      </c>
      <c r="M177" s="270" t="e">
        <f t="shared" ref="M177:N177" si="68">SUM(M175,M173)</f>
        <v>#REF!</v>
      </c>
      <c r="N177" s="270" t="e">
        <f t="shared" si="68"/>
        <v>#REF!</v>
      </c>
      <c r="O177" s="272" t="e">
        <f t="shared" si="67"/>
        <v>#REF!</v>
      </c>
      <c r="P177" s="273" t="e">
        <f t="shared" si="67"/>
        <v>#REF!</v>
      </c>
      <c r="Q177" s="273" t="e">
        <f t="shared" si="67"/>
        <v>#REF!</v>
      </c>
      <c r="R177" s="273" t="e">
        <f t="shared" si="67"/>
        <v>#REF!</v>
      </c>
      <c r="S177" s="266"/>
    </row>
    <row r="178" spans="3:19">
      <c r="C178" s="275"/>
      <c r="D178" s="276"/>
      <c r="E178" s="276"/>
      <c r="F178" s="276"/>
      <c r="G178" s="276"/>
      <c r="H178" s="276"/>
      <c r="I178" s="283"/>
      <c r="J178" s="270"/>
      <c r="K178" s="270"/>
      <c r="L178" s="271"/>
      <c r="M178" s="270"/>
      <c r="N178" s="270"/>
      <c r="O178" s="272"/>
      <c r="P178" s="282"/>
      <c r="Q178" s="282"/>
      <c r="R178" s="282"/>
    </row>
    <row r="179" spans="3:19">
      <c r="C179" s="275" t="s">
        <v>128</v>
      </c>
      <c r="D179" s="276"/>
      <c r="E179" s="276"/>
      <c r="F179" s="276"/>
      <c r="G179" s="276"/>
      <c r="H179" s="276"/>
      <c r="I179" s="277">
        <f>+I169-I177</f>
        <v>-278841.55000000075</v>
      </c>
      <c r="J179" s="277" t="e">
        <f t="shared" ref="J179:R179" si="69">+J169-J177</f>
        <v>#REF!</v>
      </c>
      <c r="K179" s="277" t="e">
        <f t="shared" si="69"/>
        <v>#REF!</v>
      </c>
      <c r="L179" s="278" t="e">
        <f t="shared" si="69"/>
        <v>#REF!</v>
      </c>
      <c r="M179" s="277" t="e">
        <f t="shared" ref="M179:N179" si="70">+M169-M177</f>
        <v>#REF!</v>
      </c>
      <c r="N179" s="277" t="e">
        <f t="shared" si="70"/>
        <v>#REF!</v>
      </c>
      <c r="O179" s="279" t="e">
        <f t="shared" si="69"/>
        <v>#REF!</v>
      </c>
      <c r="P179" s="280" t="e">
        <f t="shared" si="69"/>
        <v>#REF!</v>
      </c>
      <c r="Q179" s="280" t="e">
        <f t="shared" si="69"/>
        <v>#REF!</v>
      </c>
      <c r="R179" s="280" t="e">
        <f t="shared" si="69"/>
        <v>#REF!</v>
      </c>
      <c r="S179" s="281"/>
    </row>
    <row r="180" spans="3:19">
      <c r="C180" s="267"/>
      <c r="D180" s="268"/>
      <c r="E180" s="268"/>
      <c r="F180" s="268"/>
      <c r="G180" s="268"/>
      <c r="H180" s="268"/>
      <c r="I180" s="269"/>
      <c r="J180" s="270"/>
      <c r="K180" s="270"/>
      <c r="L180" s="271"/>
      <c r="M180" s="270"/>
      <c r="N180" s="270"/>
      <c r="O180" s="272"/>
      <c r="P180" s="282"/>
      <c r="Q180" s="282"/>
      <c r="R180" s="282"/>
    </row>
    <row r="181" spans="3:19" ht="15" thickBot="1">
      <c r="C181" s="267"/>
      <c r="D181" s="268"/>
      <c r="E181" s="268"/>
      <c r="F181" s="268"/>
      <c r="G181" s="268"/>
      <c r="H181" s="268"/>
      <c r="I181" s="284"/>
      <c r="J181" s="270"/>
      <c r="K181" s="270"/>
      <c r="L181" s="271"/>
      <c r="M181" s="270"/>
      <c r="N181" s="270"/>
      <c r="O181" s="272"/>
      <c r="P181" s="282"/>
      <c r="Q181" s="282"/>
      <c r="R181" s="282"/>
    </row>
    <row r="182" spans="3:19" ht="15" thickBot="1">
      <c r="C182" s="267" t="s">
        <v>114</v>
      </c>
      <c r="D182" s="268"/>
      <c r="E182" s="268"/>
      <c r="F182" s="268"/>
      <c r="G182" s="268"/>
      <c r="H182" s="200"/>
      <c r="I182" s="285">
        <v>16814670</v>
      </c>
      <c r="J182" s="277" t="e">
        <f>#REF!</f>
        <v>#REF!</v>
      </c>
      <c r="K182" s="277" t="e">
        <f>#REF!</f>
        <v>#REF!</v>
      </c>
      <c r="L182" s="278" t="e">
        <f>J184</f>
        <v>#REF!</v>
      </c>
      <c r="M182" s="277" t="e">
        <f>#REF!</f>
        <v>#REF!</v>
      </c>
      <c r="N182" s="277" t="e">
        <f>#REF!</f>
        <v>#REF!</v>
      </c>
      <c r="O182" s="279" t="e">
        <f>L184</f>
        <v>#REF!</v>
      </c>
      <c r="P182" s="280" t="e">
        <f t="shared" ref="P182:R182" si="71">O184</f>
        <v>#REF!</v>
      </c>
      <c r="Q182" s="280" t="e">
        <f t="shared" si="71"/>
        <v>#REF!</v>
      </c>
      <c r="R182" s="280" t="e">
        <f t="shared" si="71"/>
        <v>#REF!</v>
      </c>
      <c r="S182" s="281"/>
    </row>
    <row r="183" spans="3:19">
      <c r="C183" s="267"/>
      <c r="D183" s="268"/>
      <c r="E183" s="268"/>
      <c r="F183" s="268"/>
      <c r="G183" s="268"/>
      <c r="H183" s="268"/>
      <c r="I183" s="286"/>
      <c r="J183" s="277"/>
      <c r="K183" s="277"/>
      <c r="L183" s="278"/>
      <c r="M183" s="277"/>
      <c r="N183" s="277"/>
      <c r="O183" s="279"/>
      <c r="P183" s="287"/>
      <c r="Q183" s="287"/>
      <c r="R183" s="287"/>
      <c r="S183" s="57"/>
    </row>
    <row r="184" spans="3:19" ht="15" thickBot="1">
      <c r="C184" s="288" t="s">
        <v>115</v>
      </c>
      <c r="D184" s="289"/>
      <c r="E184" s="289"/>
      <c r="F184" s="289"/>
      <c r="G184" s="289"/>
      <c r="H184" s="289"/>
      <c r="I184" s="290"/>
      <c r="J184" s="291" t="e">
        <f>SUM(J182,J179)</f>
        <v>#REF!</v>
      </c>
      <c r="K184" s="291" t="e">
        <f>SUM(K182,K179)</f>
        <v>#REF!</v>
      </c>
      <c r="L184" s="292" t="e">
        <f t="shared" ref="L184:R184" si="72">SUM(L182,L179)</f>
        <v>#REF!</v>
      </c>
      <c r="M184" s="291" t="e">
        <f>SUM(M182,M179)</f>
        <v>#REF!</v>
      </c>
      <c r="N184" s="291" t="e">
        <f>SUM(N182,N179)</f>
        <v>#REF!</v>
      </c>
      <c r="O184" s="293" t="e">
        <f t="shared" si="72"/>
        <v>#REF!</v>
      </c>
      <c r="P184" s="294" t="e">
        <f t="shared" si="72"/>
        <v>#REF!</v>
      </c>
      <c r="Q184" s="294" t="e">
        <f t="shared" si="72"/>
        <v>#REF!</v>
      </c>
      <c r="R184" s="294" t="e">
        <f t="shared" si="72"/>
        <v>#REF!</v>
      </c>
      <c r="S184" s="281"/>
    </row>
    <row r="186" spans="3:19" ht="15" thickBot="1">
      <c r="P186" s="52"/>
      <c r="Q186" s="52"/>
      <c r="R186" s="52"/>
      <c r="S186" s="52"/>
    </row>
    <row r="187" spans="3:19">
      <c r="C187" s="295" t="s">
        <v>129</v>
      </c>
      <c r="D187" s="296"/>
      <c r="E187" s="296"/>
      <c r="F187" s="296"/>
      <c r="G187" s="296"/>
      <c r="H187" s="296"/>
      <c r="I187" s="297"/>
      <c r="J187" s="298"/>
      <c r="K187" s="298"/>
      <c r="L187" s="263"/>
      <c r="M187" s="298"/>
      <c r="N187" s="298"/>
      <c r="O187" s="299"/>
      <c r="P187" s="300"/>
      <c r="Q187" s="300"/>
      <c r="R187" s="300"/>
    </row>
    <row r="188" spans="3:19">
      <c r="C188" s="267" t="s">
        <v>130</v>
      </c>
      <c r="D188" s="268"/>
      <c r="E188" s="268"/>
      <c r="F188" s="268"/>
      <c r="G188" s="268"/>
      <c r="H188" s="268"/>
      <c r="I188" s="269"/>
      <c r="J188" s="270" t="e">
        <f t="shared" ref="J188:R188" si="73">J175</f>
        <v>#REF!</v>
      </c>
      <c r="K188" s="270" t="e">
        <f t="shared" si="73"/>
        <v>#REF!</v>
      </c>
      <c r="L188" s="271" t="e">
        <f t="shared" si="73"/>
        <v>#REF!</v>
      </c>
      <c r="M188" s="270" t="e">
        <f t="shared" ref="M188:N188" si="74">M175</f>
        <v>#REF!</v>
      </c>
      <c r="N188" s="270" t="e">
        <f t="shared" si="74"/>
        <v>#REF!</v>
      </c>
      <c r="O188" s="272" t="e">
        <f t="shared" si="73"/>
        <v>#REF!</v>
      </c>
      <c r="P188" s="273" t="e">
        <f t="shared" si="73"/>
        <v>#REF!</v>
      </c>
      <c r="Q188" s="273" t="e">
        <f t="shared" si="73"/>
        <v>#REF!</v>
      </c>
      <c r="R188" s="273" t="e">
        <f t="shared" si="73"/>
        <v>#REF!</v>
      </c>
      <c r="S188" s="266"/>
    </row>
    <row r="189" spans="3:19">
      <c r="C189" s="267" t="s">
        <v>131</v>
      </c>
      <c r="D189" s="268"/>
      <c r="E189" s="268"/>
      <c r="F189" s="268"/>
      <c r="G189" s="268"/>
      <c r="H189" s="268"/>
      <c r="I189" s="269"/>
      <c r="J189" s="270">
        <v>2</v>
      </c>
      <c r="K189" s="270">
        <v>2</v>
      </c>
      <c r="L189" s="271">
        <v>2</v>
      </c>
      <c r="M189" s="270">
        <v>2</v>
      </c>
      <c r="N189" s="270">
        <v>2</v>
      </c>
      <c r="O189" s="272">
        <v>2</v>
      </c>
      <c r="P189" s="273">
        <v>2</v>
      </c>
      <c r="Q189" s="273">
        <v>2</v>
      </c>
      <c r="R189" s="273">
        <v>2</v>
      </c>
      <c r="S189" s="266"/>
    </row>
    <row r="190" spans="3:19">
      <c r="C190" s="267" t="s">
        <v>132</v>
      </c>
      <c r="D190" s="268"/>
      <c r="E190" s="268"/>
      <c r="F190" s="268"/>
      <c r="G190" s="268"/>
      <c r="H190" s="268"/>
      <c r="I190" s="269"/>
      <c r="J190" s="270">
        <v>-500000</v>
      </c>
      <c r="K190" s="270">
        <v>-500000</v>
      </c>
      <c r="L190" s="271">
        <f>J190</f>
        <v>-500000</v>
      </c>
      <c r="M190" s="270">
        <v>-500000</v>
      </c>
      <c r="N190" s="270">
        <v>-500000</v>
      </c>
      <c r="O190" s="272">
        <f>L190</f>
        <v>-500000</v>
      </c>
      <c r="P190" s="274">
        <f t="shared" ref="P190:R191" si="75">O190</f>
        <v>-500000</v>
      </c>
      <c r="Q190" s="274">
        <f t="shared" si="75"/>
        <v>-500000</v>
      </c>
      <c r="R190" s="274">
        <f t="shared" si="75"/>
        <v>-500000</v>
      </c>
      <c r="S190" s="52"/>
    </row>
    <row r="191" spans="3:19">
      <c r="C191" s="267" t="s">
        <v>133</v>
      </c>
      <c r="D191" s="276"/>
      <c r="E191" s="276"/>
      <c r="F191" s="276"/>
      <c r="G191" s="276"/>
      <c r="H191" s="276"/>
      <c r="I191" s="283"/>
      <c r="J191" s="270">
        <v>800000</v>
      </c>
      <c r="K191" s="270">
        <v>800000</v>
      </c>
      <c r="L191" s="271">
        <f>J191</f>
        <v>800000</v>
      </c>
      <c r="M191" s="270">
        <v>800000</v>
      </c>
      <c r="N191" s="270">
        <v>800000</v>
      </c>
      <c r="O191" s="272">
        <f>L191</f>
        <v>800000</v>
      </c>
      <c r="P191" s="274">
        <f t="shared" si="75"/>
        <v>800000</v>
      </c>
      <c r="Q191" s="274">
        <f t="shared" si="75"/>
        <v>800000</v>
      </c>
      <c r="R191" s="274">
        <f t="shared" si="75"/>
        <v>800000</v>
      </c>
      <c r="S191" s="52"/>
    </row>
    <row r="192" spans="3:19">
      <c r="C192" s="275" t="s">
        <v>125</v>
      </c>
      <c r="D192" s="268"/>
      <c r="E192" s="268"/>
      <c r="F192" s="268"/>
      <c r="G192" s="268"/>
      <c r="H192" s="268"/>
      <c r="I192" s="269"/>
      <c r="J192" s="277" t="e">
        <f t="shared" ref="J192:Q192" si="76">SUM(J188:J191)</f>
        <v>#REF!</v>
      </c>
      <c r="K192" s="277" t="e">
        <f t="shared" si="76"/>
        <v>#REF!</v>
      </c>
      <c r="L192" s="278" t="e">
        <f t="shared" si="76"/>
        <v>#REF!</v>
      </c>
      <c r="M192" s="277" t="e">
        <f t="shared" ref="M192:N192" si="77">SUM(M188:M191)</f>
        <v>#REF!</v>
      </c>
      <c r="N192" s="277" t="e">
        <f t="shared" si="77"/>
        <v>#REF!</v>
      </c>
      <c r="O192" s="279" t="e">
        <f t="shared" si="76"/>
        <v>#REF!</v>
      </c>
      <c r="P192" s="280" t="e">
        <f t="shared" si="76"/>
        <v>#REF!</v>
      </c>
      <c r="Q192" s="280" t="e">
        <f t="shared" si="76"/>
        <v>#REF!</v>
      </c>
      <c r="R192" s="280" t="e">
        <f t="shared" ref="R192" si="78">SUM(R188:R191)</f>
        <v>#REF!</v>
      </c>
      <c r="S192" s="281"/>
    </row>
    <row r="193" spans="3:19">
      <c r="C193" s="267"/>
      <c r="D193" s="268"/>
      <c r="E193" s="268"/>
      <c r="F193" s="268"/>
      <c r="G193" s="268"/>
      <c r="H193" s="268"/>
      <c r="I193" s="269"/>
      <c r="J193" s="270"/>
      <c r="K193" s="270"/>
      <c r="L193" s="271"/>
      <c r="M193" s="270"/>
      <c r="N193" s="270"/>
      <c r="O193" s="272"/>
      <c r="P193" s="273"/>
      <c r="Q193" s="273"/>
      <c r="R193" s="273"/>
      <c r="S193" s="266"/>
    </row>
    <row r="194" spans="3:19">
      <c r="C194" s="267" t="s">
        <v>134</v>
      </c>
      <c r="D194" s="268"/>
      <c r="E194" s="268"/>
      <c r="F194" s="268"/>
      <c r="G194" s="268"/>
      <c r="H194" s="268"/>
      <c r="I194" s="269"/>
      <c r="J194" s="270">
        <v>15000</v>
      </c>
      <c r="K194" s="270">
        <v>15000</v>
      </c>
      <c r="L194" s="271">
        <f>J194</f>
        <v>15000</v>
      </c>
      <c r="M194" s="270">
        <v>15000</v>
      </c>
      <c r="N194" s="270">
        <v>15000</v>
      </c>
      <c r="O194" s="272">
        <f>L194</f>
        <v>15000</v>
      </c>
      <c r="P194" s="273">
        <f>O194</f>
        <v>15000</v>
      </c>
      <c r="Q194" s="273">
        <f>P194</f>
        <v>15000</v>
      </c>
      <c r="R194" s="273">
        <f>Q194</f>
        <v>15000</v>
      </c>
      <c r="S194" s="266"/>
    </row>
    <row r="195" spans="3:19">
      <c r="C195" s="275" t="s">
        <v>112</v>
      </c>
      <c r="D195" s="268"/>
      <c r="E195" s="268"/>
      <c r="F195" s="268"/>
      <c r="G195" s="268"/>
      <c r="H195" s="268"/>
      <c r="I195" s="269"/>
      <c r="J195" s="277">
        <f t="shared" ref="J195:R195" si="79">SUM(J193:J194)</f>
        <v>15000</v>
      </c>
      <c r="K195" s="277">
        <f t="shared" si="79"/>
        <v>15000</v>
      </c>
      <c r="L195" s="278">
        <f t="shared" si="79"/>
        <v>15000</v>
      </c>
      <c r="M195" s="277">
        <f t="shared" ref="M195:N195" si="80">SUM(M193:M194)</f>
        <v>15000</v>
      </c>
      <c r="N195" s="277">
        <f t="shared" si="80"/>
        <v>15000</v>
      </c>
      <c r="O195" s="279">
        <f t="shared" si="79"/>
        <v>15000</v>
      </c>
      <c r="P195" s="280">
        <f t="shared" si="79"/>
        <v>15000</v>
      </c>
      <c r="Q195" s="280">
        <f t="shared" si="79"/>
        <v>15000</v>
      </c>
      <c r="R195" s="280">
        <f t="shared" si="79"/>
        <v>15000</v>
      </c>
      <c r="S195" s="281"/>
    </row>
    <row r="196" spans="3:19">
      <c r="C196" s="275"/>
      <c r="D196" s="268"/>
      <c r="E196" s="268"/>
      <c r="F196" s="268"/>
      <c r="G196" s="268"/>
      <c r="H196" s="268"/>
      <c r="I196" s="269"/>
      <c r="J196" s="277"/>
      <c r="K196" s="277"/>
      <c r="L196" s="278"/>
      <c r="M196" s="277"/>
      <c r="N196" s="277"/>
      <c r="O196" s="279"/>
      <c r="P196" s="280"/>
      <c r="Q196" s="280"/>
      <c r="R196" s="280"/>
      <c r="S196" s="281"/>
    </row>
    <row r="197" spans="3:19">
      <c r="C197" s="275" t="s">
        <v>128</v>
      </c>
      <c r="D197" s="268"/>
      <c r="E197" s="268"/>
      <c r="F197" s="268"/>
      <c r="G197" s="268"/>
      <c r="H197" s="268"/>
      <c r="I197" s="269"/>
      <c r="J197" s="277" t="e">
        <f t="shared" ref="J197:R197" si="81">J192-J195</f>
        <v>#REF!</v>
      </c>
      <c r="K197" s="277" t="e">
        <f t="shared" si="81"/>
        <v>#REF!</v>
      </c>
      <c r="L197" s="278" t="e">
        <f t="shared" si="81"/>
        <v>#REF!</v>
      </c>
      <c r="M197" s="277" t="e">
        <f t="shared" ref="M197:N197" si="82">M192-M195</f>
        <v>#REF!</v>
      </c>
      <c r="N197" s="277" t="e">
        <f t="shared" si="82"/>
        <v>#REF!</v>
      </c>
      <c r="O197" s="279" t="e">
        <f t="shared" si="81"/>
        <v>#REF!</v>
      </c>
      <c r="P197" s="280" t="e">
        <f t="shared" si="81"/>
        <v>#REF!</v>
      </c>
      <c r="Q197" s="280" t="e">
        <f t="shared" si="81"/>
        <v>#REF!</v>
      </c>
      <c r="R197" s="280" t="e">
        <f t="shared" si="81"/>
        <v>#REF!</v>
      </c>
      <c r="S197" s="281"/>
    </row>
    <row r="198" spans="3:19">
      <c r="C198" s="267"/>
      <c r="D198" s="268"/>
      <c r="E198" s="268"/>
      <c r="F198" s="268"/>
      <c r="G198" s="268"/>
      <c r="H198" s="268"/>
      <c r="I198" s="269"/>
      <c r="J198" s="270"/>
      <c r="K198" s="270"/>
      <c r="L198" s="271"/>
      <c r="M198" s="270"/>
      <c r="N198" s="270"/>
      <c r="O198" s="272"/>
      <c r="P198" s="282"/>
      <c r="Q198" s="282"/>
      <c r="R198" s="282"/>
    </row>
    <row r="199" spans="3:19">
      <c r="C199" s="267"/>
      <c r="D199" s="268"/>
      <c r="E199" s="268"/>
      <c r="F199" s="268"/>
      <c r="G199" s="268"/>
      <c r="H199" s="268"/>
      <c r="I199" s="269"/>
      <c r="J199" s="270"/>
      <c r="K199" s="270"/>
      <c r="L199" s="271"/>
      <c r="M199" s="270"/>
      <c r="N199" s="270"/>
      <c r="O199" s="272"/>
      <c r="P199" s="282"/>
      <c r="Q199" s="282"/>
      <c r="R199" s="282"/>
    </row>
    <row r="200" spans="3:19">
      <c r="C200" s="267" t="s">
        <v>114</v>
      </c>
      <c r="D200" s="268"/>
      <c r="E200" s="268"/>
      <c r="F200" s="268"/>
      <c r="G200" s="268"/>
      <c r="H200" s="268"/>
      <c r="I200" s="269"/>
      <c r="J200" s="277" t="e">
        <f>#REF!</f>
        <v>#REF!</v>
      </c>
      <c r="K200" s="277" t="e">
        <f>#REF!</f>
        <v>#REF!</v>
      </c>
      <c r="L200" s="278" t="e">
        <f>J202</f>
        <v>#REF!</v>
      </c>
      <c r="M200" s="277" t="e">
        <f>#REF!</f>
        <v>#REF!</v>
      </c>
      <c r="N200" s="277" t="e">
        <f>#REF!</f>
        <v>#REF!</v>
      </c>
      <c r="O200" s="279" t="e">
        <f>L202</f>
        <v>#REF!</v>
      </c>
      <c r="P200" s="280" t="e">
        <f t="shared" ref="P200:R200" si="83">O202</f>
        <v>#REF!</v>
      </c>
      <c r="Q200" s="280" t="e">
        <f t="shared" si="83"/>
        <v>#REF!</v>
      </c>
      <c r="R200" s="280" t="e">
        <f t="shared" si="83"/>
        <v>#REF!</v>
      </c>
      <c r="S200" s="281"/>
    </row>
    <row r="201" spans="3:19">
      <c r="C201" s="267"/>
      <c r="D201" s="268"/>
      <c r="E201" s="268"/>
      <c r="F201" s="268"/>
      <c r="G201" s="268"/>
      <c r="H201" s="268"/>
      <c r="I201" s="269"/>
      <c r="J201" s="270"/>
      <c r="K201" s="270"/>
      <c r="L201" s="271"/>
      <c r="M201" s="270"/>
      <c r="N201" s="270"/>
      <c r="O201" s="272"/>
      <c r="P201" s="282"/>
      <c r="Q201" s="282"/>
      <c r="R201" s="282"/>
    </row>
    <row r="202" spans="3:19" ht="15" thickBot="1">
      <c r="C202" s="288" t="s">
        <v>115</v>
      </c>
      <c r="D202" s="289"/>
      <c r="E202" s="289"/>
      <c r="F202" s="289"/>
      <c r="G202" s="289"/>
      <c r="H202" s="289"/>
      <c r="I202" s="290"/>
      <c r="J202" s="291" t="e">
        <f t="shared" ref="J202:R202" si="84">SUM(J200,J197)</f>
        <v>#REF!</v>
      </c>
      <c r="K202" s="291" t="e">
        <f t="shared" si="84"/>
        <v>#REF!</v>
      </c>
      <c r="L202" s="292" t="e">
        <f t="shared" si="84"/>
        <v>#REF!</v>
      </c>
      <c r="M202" s="291" t="e">
        <f t="shared" ref="M202:N202" si="85">SUM(M200,M197)</f>
        <v>#REF!</v>
      </c>
      <c r="N202" s="291" t="e">
        <f t="shared" si="85"/>
        <v>#REF!</v>
      </c>
      <c r="O202" s="293" t="e">
        <f t="shared" si="84"/>
        <v>#REF!</v>
      </c>
      <c r="P202" s="301" t="e">
        <f t="shared" si="84"/>
        <v>#REF!</v>
      </c>
      <c r="Q202" s="301" t="e">
        <f t="shared" si="84"/>
        <v>#REF!</v>
      </c>
      <c r="R202" s="301" t="e">
        <f t="shared" si="84"/>
        <v>#REF!</v>
      </c>
      <c r="S202" s="281"/>
    </row>
  </sheetData>
  <printOptions horizontalCentered="1" gridLines="1"/>
  <pageMargins left="0" right="0" top="0.75" bottom="0.75" header="0.3" footer="0.3"/>
  <pageSetup scale="61" orientation="portrait" r:id="rId1"/>
  <headerFooter>
    <oddHeader>&amp;R&amp;P of &amp;N</oddHeader>
  </headerFooter>
  <rowBreaks count="3" manualBreakCount="3">
    <brk id="29" min="2" max="18" man="1"/>
    <brk id="61" min="2" max="18" man="1"/>
    <brk id="102" min="2" max="18" man="1"/>
  </rowBreaks>
  <ignoredErrors>
    <ignoredError sqref="L10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8871-A1E6-45E2-9A03-DE0835952373}">
  <sheetPr>
    <tabColor theme="9" tint="0.39997558519241921"/>
  </sheetPr>
  <dimension ref="A2:P32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"/>
    </sheetView>
  </sheetViews>
  <sheetFormatPr defaultRowHeight="14.4"/>
  <cols>
    <col min="2" max="2" width="50.88671875" customWidth="1"/>
    <col min="3" max="6" width="18.6640625" customWidth="1"/>
    <col min="7" max="7" width="23.6640625" customWidth="1"/>
    <col min="8" max="10" width="10.88671875" customWidth="1"/>
    <col min="11" max="11" width="15.33203125" bestFit="1" customWidth="1"/>
    <col min="12" max="13" width="11.88671875" customWidth="1"/>
    <col min="14" max="14" width="14.6640625" bestFit="1" customWidth="1"/>
    <col min="16" max="16" width="12.5546875" hidden="1" customWidth="1"/>
  </cols>
  <sheetData>
    <row r="2" spans="1:16" ht="67.5" customHeight="1">
      <c r="B2" s="423" t="s">
        <v>219</v>
      </c>
      <c r="C2" s="424" t="s">
        <v>212</v>
      </c>
      <c r="D2" s="424" t="s">
        <v>201</v>
      </c>
      <c r="E2" s="424" t="s">
        <v>202</v>
      </c>
      <c r="F2" s="424" t="s">
        <v>203</v>
      </c>
      <c r="G2" s="424" t="s">
        <v>204</v>
      </c>
      <c r="H2" s="424" t="s">
        <v>205</v>
      </c>
      <c r="I2" s="424" t="s">
        <v>206</v>
      </c>
      <c r="J2" s="424" t="s">
        <v>207</v>
      </c>
      <c r="K2" s="424" t="s">
        <v>208</v>
      </c>
      <c r="L2" s="424" t="s">
        <v>209</v>
      </c>
      <c r="M2" s="424" t="s">
        <v>210</v>
      </c>
      <c r="N2" s="424" t="s">
        <v>211</v>
      </c>
    </row>
    <row r="3" spans="1:16" ht="35.25" customHeight="1">
      <c r="B3" s="362" t="s">
        <v>189</v>
      </c>
      <c r="C3" s="421" t="s">
        <v>200</v>
      </c>
      <c r="D3" s="421" t="s">
        <v>199</v>
      </c>
      <c r="E3" s="421" t="s">
        <v>191</v>
      </c>
      <c r="F3" s="421" t="s">
        <v>188</v>
      </c>
      <c r="G3" s="422" t="s">
        <v>197</v>
      </c>
      <c r="I3" s="362" t="s">
        <v>190</v>
      </c>
    </row>
    <row r="4" spans="1:16">
      <c r="I4" s="357"/>
      <c r="J4" s="357"/>
      <c r="K4" s="357"/>
      <c r="L4" s="357"/>
      <c r="M4" s="357"/>
      <c r="N4" s="357"/>
      <c r="O4" s="357"/>
      <c r="P4" s="358" t="s">
        <v>183</v>
      </c>
    </row>
    <row r="5" spans="1:16" ht="18">
      <c r="A5">
        <v>1</v>
      </c>
      <c r="B5" s="339" t="s">
        <v>186</v>
      </c>
      <c r="C5" s="340">
        <f>MYP!G98/MYP!G93</f>
        <v>0.14574984445870226</v>
      </c>
      <c r="D5" s="340">
        <f>MYP!H98/MYP!H93</f>
        <v>0.14618053611862544</v>
      </c>
      <c r="E5" s="340">
        <f>MYP!I98/MYP!I93</f>
        <v>0.23094103477919392</v>
      </c>
      <c r="F5" s="340">
        <f>MYP!K98/MYP!K93</f>
        <v>0.30485141611112276</v>
      </c>
      <c r="G5" s="340">
        <f>MYP!L98/MYP!L93</f>
        <v>0.26663509725250018</v>
      </c>
      <c r="H5" s="340"/>
      <c r="I5" s="425" t="s">
        <v>213</v>
      </c>
      <c r="J5" s="425"/>
      <c r="K5" s="426">
        <f>MYP!K98</f>
        <v>40622518.819999985</v>
      </c>
      <c r="L5" s="425" t="s">
        <v>142</v>
      </c>
      <c r="M5" s="425"/>
      <c r="N5" s="426">
        <f>MYP!K93</f>
        <v>133253502.11</v>
      </c>
      <c r="O5" s="357"/>
      <c r="P5" s="359">
        <f>K5/N5</f>
        <v>0.30485141611112276</v>
      </c>
    </row>
    <row r="6" spans="1:16">
      <c r="I6" s="425"/>
      <c r="J6" s="425"/>
      <c r="K6" s="425"/>
      <c r="L6" s="425"/>
      <c r="M6" s="425"/>
      <c r="N6" s="425"/>
      <c r="O6" s="357"/>
      <c r="P6" s="357"/>
    </row>
    <row r="7" spans="1:16" ht="18">
      <c r="A7">
        <v>2</v>
      </c>
      <c r="B7" s="339" t="s">
        <v>143</v>
      </c>
      <c r="C7" s="340">
        <f>MYP!G95/MYP!G55</f>
        <v>-8.5601817406646685E-3</v>
      </c>
      <c r="D7" s="340">
        <f>MYP!H95/MYP!H55</f>
        <v>8.8766526416109029E-4</v>
      </c>
      <c r="E7" s="340">
        <f>MYP!I95/MYP!I55</f>
        <v>5.9037068810070439E-2</v>
      </c>
      <c r="F7" s="340">
        <f>MYP!K95/MYP!K55</f>
        <v>8.29099643911205E-2</v>
      </c>
      <c r="G7" s="340">
        <f>MYP!L95/MYP!L55</f>
        <v>-2.8355298258912676E-9</v>
      </c>
      <c r="H7" s="340"/>
      <c r="I7" s="425" t="s">
        <v>214</v>
      </c>
      <c r="J7" s="425"/>
      <c r="K7" s="426">
        <f>MYP!K95</f>
        <v>12046846.749999985</v>
      </c>
      <c r="L7" s="425" t="s">
        <v>144</v>
      </c>
      <c r="M7" s="425"/>
      <c r="N7" s="426">
        <f>MYP!K55</f>
        <v>145300348.85999998</v>
      </c>
      <c r="O7" s="357"/>
      <c r="P7" s="359">
        <f>K7/N7</f>
        <v>8.29099643911205E-2</v>
      </c>
    </row>
    <row r="8" spans="1:16">
      <c r="I8" s="425"/>
      <c r="J8" s="425"/>
      <c r="K8" s="425"/>
      <c r="L8" s="425"/>
      <c r="M8" s="425"/>
      <c r="N8" s="425"/>
      <c r="O8" s="357"/>
      <c r="P8" s="357"/>
    </row>
    <row r="9" spans="1:16" ht="18">
      <c r="A9">
        <v>3</v>
      </c>
      <c r="B9" s="339" t="s">
        <v>180</v>
      </c>
      <c r="C9" s="356">
        <f>MYP!G95</f>
        <v>-1204610.4799999595</v>
      </c>
      <c r="D9" s="356">
        <f>MYP!H95</f>
        <v>126493.00999999046</v>
      </c>
      <c r="E9" s="356">
        <f>MYP!I95</f>
        <v>7763322.5900000036</v>
      </c>
      <c r="F9" s="356">
        <f>MYP!K95</f>
        <v>12046846.749999985</v>
      </c>
      <c r="G9" s="356">
        <f>MYP!L95</f>
        <v>-0.43200001120567322</v>
      </c>
      <c r="H9" s="356"/>
      <c r="I9" s="425" t="s">
        <v>215</v>
      </c>
      <c r="J9" s="425"/>
      <c r="K9" s="426">
        <f>MYP!K55</f>
        <v>145300348.85999998</v>
      </c>
      <c r="L9" s="425" t="s">
        <v>181</v>
      </c>
      <c r="M9" s="425"/>
      <c r="N9" s="426">
        <f>MYP!K93</f>
        <v>133253502.11</v>
      </c>
      <c r="O9" s="357"/>
      <c r="P9" s="360">
        <f>K9-N9</f>
        <v>12046846.749999985</v>
      </c>
    </row>
    <row r="10" spans="1:16" ht="18">
      <c r="B10" s="339"/>
      <c r="I10" s="425"/>
      <c r="J10" s="425"/>
      <c r="K10" s="425"/>
      <c r="L10" s="425"/>
      <c r="M10" s="425"/>
      <c r="N10" s="425"/>
      <c r="O10" s="357"/>
      <c r="P10" s="357"/>
    </row>
    <row r="11" spans="1:16" ht="18">
      <c r="A11">
        <v>4</v>
      </c>
      <c r="B11" s="339" t="s">
        <v>182</v>
      </c>
      <c r="C11" s="427">
        <f>MYP!G101</f>
        <v>0.8590761383696226</v>
      </c>
      <c r="D11" s="427">
        <f>MYP!H101</f>
        <v>0.8730226180441899</v>
      </c>
      <c r="E11" s="427">
        <f>MYP!I101</f>
        <v>0.88668268912615777</v>
      </c>
      <c r="F11" s="427">
        <f>MYP!K101</f>
        <v>0.84593928343396696</v>
      </c>
      <c r="G11" s="427">
        <f>MYP!L101</f>
        <v>0.84493881963880546</v>
      </c>
      <c r="H11" s="340"/>
      <c r="I11" s="425" t="s">
        <v>216</v>
      </c>
      <c r="J11" s="425"/>
      <c r="K11" s="426">
        <f>MYP!K84</f>
        <v>112724372.09</v>
      </c>
      <c r="L11" s="425" t="s">
        <v>142</v>
      </c>
      <c r="M11" s="425"/>
      <c r="N11" s="426">
        <f>MYP!K93</f>
        <v>133253502.11</v>
      </c>
      <c r="O11" s="357"/>
      <c r="P11" s="359">
        <f>K11/N11</f>
        <v>0.84593928343396696</v>
      </c>
    </row>
    <row r="12" spans="1:16" ht="18">
      <c r="B12" s="339"/>
      <c r="C12" s="428"/>
      <c r="D12" s="428"/>
      <c r="E12" s="428"/>
      <c r="F12" s="428"/>
      <c r="G12" s="428"/>
      <c r="I12" s="425"/>
      <c r="J12" s="425"/>
      <c r="K12" s="425"/>
      <c r="L12" s="425"/>
      <c r="M12" s="425"/>
      <c r="N12" s="425"/>
      <c r="O12" s="357"/>
      <c r="P12" s="357"/>
    </row>
    <row r="13" spans="1:16" ht="18">
      <c r="A13">
        <v>5</v>
      </c>
      <c r="B13" s="339" t="s">
        <v>198</v>
      </c>
      <c r="C13" s="427">
        <v>6.7199999999999996E-2</v>
      </c>
      <c r="D13" s="427">
        <v>8.2400000000000001E-2</v>
      </c>
      <c r="E13" s="427">
        <v>9.6299999999999997E-2</v>
      </c>
      <c r="F13" s="427">
        <v>0.1153</v>
      </c>
      <c r="G13" s="427">
        <v>0.1153</v>
      </c>
      <c r="H13" s="340"/>
      <c r="I13" s="425" t="s">
        <v>217</v>
      </c>
      <c r="J13" s="425"/>
      <c r="K13" s="426">
        <v>10573712</v>
      </c>
      <c r="L13" s="425" t="s">
        <v>184</v>
      </c>
      <c r="M13" s="425"/>
      <c r="N13" s="426">
        <v>91733793</v>
      </c>
      <c r="O13" s="357"/>
      <c r="P13" s="359">
        <f>K13/N13</f>
        <v>0.11526517823153785</v>
      </c>
    </row>
    <row r="14" spans="1:16" ht="18">
      <c r="B14" s="339"/>
      <c r="C14" s="428"/>
      <c r="D14" s="428"/>
      <c r="E14" s="428"/>
      <c r="F14" s="428"/>
      <c r="G14" s="428"/>
      <c r="I14" s="425"/>
      <c r="J14" s="425"/>
      <c r="K14" s="425"/>
      <c r="L14" s="425"/>
      <c r="M14" s="425"/>
      <c r="N14" s="425"/>
      <c r="O14" s="357"/>
      <c r="P14" s="357"/>
    </row>
    <row r="15" spans="1:16" ht="18">
      <c r="A15">
        <v>6</v>
      </c>
      <c r="B15" s="339" t="s">
        <v>185</v>
      </c>
      <c r="C15" s="427">
        <f>(34762762-35050512)/MYP!G93</f>
        <v>-2.0274486445107597E-3</v>
      </c>
      <c r="D15" s="427">
        <f>(25335079-34762762)/MYP!H93</f>
        <v>-6.6217586725037594E-2</v>
      </c>
      <c r="E15" s="427">
        <f>(37026881-25335079)/MYP!J93</f>
        <v>8.6834238889463067E-2</v>
      </c>
      <c r="F15" s="427">
        <f>(57663766-37026881)/MYP!K93</f>
        <v>0.15486936308033669</v>
      </c>
      <c r="G15" s="427">
        <f>(57663766-37026881)/MYP!L93</f>
        <v>0.13545486399814788</v>
      </c>
      <c r="I15" s="425" t="s">
        <v>218</v>
      </c>
      <c r="J15" s="425"/>
      <c r="K15" s="426">
        <f>57663766-37026881</f>
        <v>20636885</v>
      </c>
      <c r="L15" s="425" t="s">
        <v>142</v>
      </c>
      <c r="M15" s="425"/>
      <c r="N15" s="426">
        <f>MYP!K93</f>
        <v>133253502.11</v>
      </c>
      <c r="O15" s="357"/>
      <c r="P15" s="359">
        <f>K15/N15</f>
        <v>0.15486936308033669</v>
      </c>
    </row>
    <row r="16" spans="1:16" ht="18">
      <c r="B16" s="339"/>
      <c r="I16" s="357"/>
      <c r="J16" s="357"/>
      <c r="K16" s="357"/>
      <c r="L16" s="357"/>
      <c r="M16" s="357"/>
      <c r="N16" s="357"/>
      <c r="O16" s="357"/>
      <c r="P16" s="357"/>
    </row>
    <row r="17" spans="1:16" ht="18">
      <c r="A17">
        <v>7</v>
      </c>
      <c r="B17" s="339" t="s">
        <v>227</v>
      </c>
      <c r="C17" s="429">
        <v>18494.310000000001</v>
      </c>
      <c r="D17" s="429">
        <v>18642.05</v>
      </c>
      <c r="E17" s="429">
        <v>18341.61</v>
      </c>
      <c r="F17" s="429">
        <v>18459.599999999999</v>
      </c>
      <c r="G17" s="429">
        <v>18459.599999999999</v>
      </c>
      <c r="I17" s="364" t="s">
        <v>187</v>
      </c>
      <c r="J17" s="357"/>
      <c r="K17" s="357"/>
      <c r="L17" s="357"/>
      <c r="M17" s="357"/>
      <c r="N17" s="357"/>
      <c r="O17" s="357"/>
      <c r="P17" s="357"/>
    </row>
    <row r="18" spans="1:16" ht="18">
      <c r="B18" s="339"/>
      <c r="C18" s="430"/>
      <c r="D18" s="430"/>
      <c r="E18" s="430"/>
      <c r="F18" s="430"/>
      <c r="G18" s="430"/>
    </row>
    <row r="19" spans="1:16" ht="18">
      <c r="A19">
        <v>8</v>
      </c>
      <c r="B19" s="339" t="s">
        <v>228</v>
      </c>
      <c r="C19" s="429">
        <v>17950</v>
      </c>
      <c r="D19" s="429">
        <v>17558</v>
      </c>
      <c r="E19" s="429">
        <v>14993</v>
      </c>
      <c r="F19" s="429">
        <v>13470</v>
      </c>
      <c r="G19" s="429">
        <v>14200</v>
      </c>
      <c r="I19" s="364" t="s">
        <v>187</v>
      </c>
      <c r="J19" s="357"/>
      <c r="K19" s="357"/>
      <c r="L19" s="357"/>
      <c r="M19" s="357"/>
      <c r="N19" s="357"/>
      <c r="O19" s="357"/>
      <c r="P19" s="357"/>
    </row>
    <row r="20" spans="1:16" ht="18">
      <c r="B20" s="339"/>
      <c r="C20" s="361"/>
      <c r="D20" s="361"/>
      <c r="E20" s="361"/>
      <c r="F20" s="361"/>
      <c r="G20" s="361"/>
      <c r="I20" s="364"/>
      <c r="J20" s="357"/>
      <c r="K20" s="357"/>
      <c r="L20" s="357"/>
      <c r="M20" s="357"/>
      <c r="N20" s="357"/>
      <c r="O20" s="357"/>
      <c r="P20" s="357"/>
    </row>
    <row r="21" spans="1:16" ht="18">
      <c r="B21" s="339" t="s">
        <v>114</v>
      </c>
      <c r="C21" s="356">
        <f>MYP!G97</f>
        <v>21890469.949999966</v>
      </c>
      <c r="D21" s="356">
        <f>MYP!H97</f>
        <v>20685859.470000006</v>
      </c>
      <c r="E21" s="356">
        <f>MYP!I97</f>
        <v>20812352.479999997</v>
      </c>
      <c r="F21" s="356">
        <f>MYP!K97</f>
        <v>28575672.07</v>
      </c>
      <c r="G21" s="356">
        <f>MYP!L97</f>
        <v>40622518.819999985</v>
      </c>
    </row>
    <row r="22" spans="1:16" ht="18">
      <c r="B22" s="339"/>
      <c r="C22" s="356"/>
      <c r="D22" s="356"/>
      <c r="E22" s="356"/>
      <c r="F22" s="356"/>
      <c r="G22" s="356"/>
    </row>
    <row r="23" spans="1:16" ht="18">
      <c r="B23" s="339" t="s">
        <v>192</v>
      </c>
      <c r="C23" s="356">
        <f>MYP!G55</f>
        <v>140722535.63000003</v>
      </c>
      <c r="D23" s="356">
        <f>MYP!H55</f>
        <v>142500799.69</v>
      </c>
      <c r="E23" s="356">
        <f>MYP!I55</f>
        <v>131499119.90000001</v>
      </c>
      <c r="F23" s="356">
        <f>MYP!K55</f>
        <v>145300348.85999998</v>
      </c>
      <c r="G23" s="356">
        <f>MYP!L55</f>
        <v>152352483.56799999</v>
      </c>
    </row>
    <row r="24" spans="1:16" ht="18">
      <c r="B24" s="339"/>
      <c r="C24" s="356"/>
      <c r="D24" s="356"/>
      <c r="E24" s="356"/>
      <c r="F24" s="356"/>
      <c r="G24" s="356"/>
    </row>
    <row r="25" spans="1:16" ht="18">
      <c r="B25" s="339" t="s">
        <v>193</v>
      </c>
      <c r="C25" s="356">
        <f>MYP!G93</f>
        <v>141927146.10999998</v>
      </c>
      <c r="D25" s="356">
        <f>MYP!H93</f>
        <v>142374306.68000001</v>
      </c>
      <c r="E25" s="356">
        <f>MYP!I93</f>
        <v>123735797.31</v>
      </c>
      <c r="F25" s="356">
        <f>MYP!K93</f>
        <v>133253502.11</v>
      </c>
      <c r="G25" s="356">
        <f>MYP!L93</f>
        <v>152352484</v>
      </c>
    </row>
    <row r="26" spans="1:16" ht="18">
      <c r="B26" s="339"/>
      <c r="C26" s="356"/>
      <c r="D26" s="356"/>
      <c r="E26" s="356"/>
      <c r="F26" s="356"/>
      <c r="G26" s="356"/>
    </row>
    <row r="27" spans="1:16" ht="18">
      <c r="B27" s="339" t="s">
        <v>194</v>
      </c>
      <c r="C27" s="356">
        <f>MYP!G95</f>
        <v>-1204610.4799999595</v>
      </c>
      <c r="D27" s="356">
        <f>MYP!H95</f>
        <v>126493.00999999046</v>
      </c>
      <c r="E27" s="356">
        <f>MYP!I95</f>
        <v>7763322.5900000036</v>
      </c>
      <c r="F27" s="356">
        <f>MYP!K95</f>
        <v>12046846.749999985</v>
      </c>
      <c r="G27" s="356">
        <f>MYP!L95</f>
        <v>-0.43200001120567322</v>
      </c>
    </row>
    <row r="28" spans="1:16" ht="18">
      <c r="B28" s="339"/>
      <c r="C28" s="356"/>
      <c r="D28" s="356"/>
      <c r="E28" s="356"/>
      <c r="F28" s="356"/>
      <c r="G28" s="356"/>
    </row>
    <row r="29" spans="1:16" ht="19.8">
      <c r="B29" s="339" t="s">
        <v>115</v>
      </c>
      <c r="C29" s="363">
        <f>MYP!G98</f>
        <v>20685859.470000006</v>
      </c>
      <c r="D29" s="363">
        <f>MYP!H98</f>
        <v>20812352.479999997</v>
      </c>
      <c r="E29" s="363">
        <f>MYP!I98</f>
        <v>28575673.07</v>
      </c>
      <c r="F29" s="363">
        <f>MYP!K98</f>
        <v>40622518.819999985</v>
      </c>
      <c r="G29" s="363">
        <f>MYP!L98</f>
        <v>40622519.387999974</v>
      </c>
    </row>
    <row r="32" spans="1:16" ht="18">
      <c r="B32" s="339" t="s">
        <v>195</v>
      </c>
      <c r="C32" s="356">
        <v>43317603</v>
      </c>
      <c r="D32" s="356">
        <v>32090449</v>
      </c>
      <c r="E32" s="356">
        <v>44905924</v>
      </c>
      <c r="F32" s="356">
        <v>76938404</v>
      </c>
      <c r="G32" s="356">
        <v>79105671.650000006</v>
      </c>
    </row>
  </sheetData>
  <phoneticPr fontId="53" type="noConversion"/>
  <pageMargins left="0.7" right="0.7" top="0.75" bottom="0.75" header="0.3" footer="0.3"/>
  <pageSetup scale="50" fitToHeight="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52692-7F0E-4957-8160-3356CDC986C2}">
  <sheetPr>
    <tabColor theme="7" tint="0.59999389629810485"/>
  </sheetPr>
  <dimension ref="B2:B70"/>
  <sheetViews>
    <sheetView workbookViewId="0">
      <selection activeCell="N14" sqref="N14"/>
    </sheetView>
  </sheetViews>
  <sheetFormatPr defaultRowHeight="14.4"/>
  <cols>
    <col min="2" max="2" width="134.5546875" customWidth="1"/>
  </cols>
  <sheetData>
    <row r="2" spans="2:2" ht="17.399999999999999">
      <c r="B2" s="342" t="s">
        <v>222</v>
      </c>
    </row>
    <row r="3" spans="2:2" ht="17.399999999999999">
      <c r="B3" s="342" t="s">
        <v>223</v>
      </c>
    </row>
    <row r="4" spans="2:2" ht="17.399999999999999">
      <c r="B4" s="342" t="s">
        <v>224</v>
      </c>
    </row>
    <row r="5" spans="2:2" ht="17.399999999999999">
      <c r="B5" s="342" t="s">
        <v>225</v>
      </c>
    </row>
    <row r="6" spans="2:2" ht="17.399999999999999">
      <c r="B6" s="342"/>
    </row>
    <row r="7" spans="2:2" ht="17.399999999999999">
      <c r="B7" s="342" t="s">
        <v>226</v>
      </c>
    </row>
    <row r="8" spans="2:2" ht="17.399999999999999">
      <c r="B8" s="342"/>
    </row>
    <row r="9" spans="2:2" ht="17.399999999999999">
      <c r="B9" s="342" t="s">
        <v>145</v>
      </c>
    </row>
    <row r="10" spans="2:2" ht="17.399999999999999">
      <c r="B10" s="343"/>
    </row>
    <row r="11" spans="2:2">
      <c r="B11" s="352" t="s">
        <v>220</v>
      </c>
    </row>
    <row r="12" spans="2:2">
      <c r="B12" s="353" t="s">
        <v>146</v>
      </c>
    </row>
    <row r="13" spans="2:2">
      <c r="B13" s="352" t="s">
        <v>147</v>
      </c>
    </row>
    <row r="14" spans="2:2">
      <c r="B14" s="352" t="s">
        <v>148</v>
      </c>
    </row>
    <row r="15" spans="2:2">
      <c r="B15" s="354" t="s">
        <v>149</v>
      </c>
    </row>
    <row r="16" spans="2:2">
      <c r="B16" s="354" t="s">
        <v>150</v>
      </c>
    </row>
    <row r="17" spans="2:2">
      <c r="B17" s="354" t="s">
        <v>151</v>
      </c>
    </row>
    <row r="18" spans="2:2">
      <c r="B18" s="354" t="s">
        <v>152</v>
      </c>
    </row>
    <row r="19" spans="2:2">
      <c r="B19" s="344" t="s">
        <v>153</v>
      </c>
    </row>
    <row r="20" spans="2:2">
      <c r="B20" s="341" t="s">
        <v>154</v>
      </c>
    </row>
    <row r="21" spans="2:2">
      <c r="B21" s="344" t="s">
        <v>155</v>
      </c>
    </row>
    <row r="22" spans="2:2">
      <c r="B22" s="344" t="s">
        <v>156</v>
      </c>
    </row>
    <row r="23" spans="2:2">
      <c r="B23" s="344" t="s">
        <v>157</v>
      </c>
    </row>
    <row r="24" spans="2:2">
      <c r="B24" s="344" t="s">
        <v>158</v>
      </c>
    </row>
    <row r="25" spans="2:2">
      <c r="B25" s="341" t="s">
        <v>159</v>
      </c>
    </row>
    <row r="26" spans="2:2" hidden="1">
      <c r="B26" s="345" t="s">
        <v>160</v>
      </c>
    </row>
    <row r="27" spans="2:2" hidden="1">
      <c r="B27" s="346" t="s">
        <v>161</v>
      </c>
    </row>
    <row r="28" spans="2:2" hidden="1">
      <c r="B28" s="346" t="s">
        <v>162</v>
      </c>
    </row>
    <row r="29" spans="2:2" hidden="1">
      <c r="B29" s="346" t="s">
        <v>163</v>
      </c>
    </row>
    <row r="30" spans="2:2" ht="17.399999999999999">
      <c r="B30" s="342" t="s">
        <v>164</v>
      </c>
    </row>
    <row r="31" spans="2:2" ht="15.6">
      <c r="B31" s="347"/>
    </row>
    <row r="32" spans="2:2">
      <c r="B32" s="348" t="s">
        <v>165</v>
      </c>
    </row>
    <row r="33" spans="2:2">
      <c r="B33" s="348" t="s">
        <v>166</v>
      </c>
    </row>
    <row r="34" spans="2:2">
      <c r="B34" s="348" t="s">
        <v>167</v>
      </c>
    </row>
    <row r="35" spans="2:2">
      <c r="B35" s="348" t="s">
        <v>168</v>
      </c>
    </row>
    <row r="36" spans="2:2">
      <c r="B36" s="355" t="s">
        <v>221</v>
      </c>
    </row>
    <row r="37" spans="2:2">
      <c r="B37" s="355" t="s">
        <v>169</v>
      </c>
    </row>
    <row r="38" spans="2:2">
      <c r="B38" s="355" t="s">
        <v>170</v>
      </c>
    </row>
    <row r="39" spans="2:2">
      <c r="B39" s="349" t="s">
        <v>171</v>
      </c>
    </row>
    <row r="40" spans="2:2">
      <c r="B40" s="349" t="s">
        <v>172</v>
      </c>
    </row>
    <row r="41" spans="2:2">
      <c r="B41" s="355" t="s">
        <v>173</v>
      </c>
    </row>
    <row r="42" spans="2:2">
      <c r="B42" s="355" t="s">
        <v>174</v>
      </c>
    </row>
    <row r="43" spans="2:2">
      <c r="B43" s="355" t="s">
        <v>175</v>
      </c>
    </row>
    <row r="44" spans="2:2">
      <c r="B44" s="348" t="s">
        <v>176</v>
      </c>
    </row>
    <row r="45" spans="2:2">
      <c r="B45" s="348" t="s">
        <v>177</v>
      </c>
    </row>
    <row r="46" spans="2:2">
      <c r="B46" s="348" t="s">
        <v>178</v>
      </c>
    </row>
    <row r="47" spans="2:2" ht="15.6">
      <c r="B47" s="348" t="s">
        <v>179</v>
      </c>
    </row>
    <row r="48" spans="2:2" ht="15.6">
      <c r="B48" s="350"/>
    </row>
    <row r="49" spans="2:2" ht="15.6">
      <c r="B49" s="350"/>
    </row>
    <row r="50" spans="2:2" ht="15.6">
      <c r="B50" s="350"/>
    </row>
    <row r="51" spans="2:2" ht="15.6">
      <c r="B51" s="350"/>
    </row>
    <row r="52" spans="2:2" ht="15">
      <c r="B52" s="351"/>
    </row>
    <row r="53" spans="2:2" ht="15">
      <c r="B53" s="351"/>
    </row>
    <row r="54" spans="2:2" ht="15">
      <c r="B54" s="351"/>
    </row>
    <row r="55" spans="2:2" ht="15">
      <c r="B55" s="351"/>
    </row>
    <row r="56" spans="2:2" ht="15.6">
      <c r="B56" s="350"/>
    </row>
    <row r="57" spans="2:2" ht="15.6">
      <c r="B57" s="350"/>
    </row>
    <row r="58" spans="2:2" ht="15.6">
      <c r="B58" s="350"/>
    </row>
    <row r="59" spans="2:2" ht="15.6">
      <c r="B59" s="350"/>
    </row>
    <row r="60" spans="2:2" ht="15.6">
      <c r="B60" s="350"/>
    </row>
    <row r="61" spans="2:2" ht="15.6">
      <c r="B61" s="350"/>
    </row>
    <row r="62" spans="2:2" ht="15.6">
      <c r="B62" s="350"/>
    </row>
    <row r="63" spans="2:2" ht="15.6">
      <c r="B63" s="350"/>
    </row>
    <row r="64" spans="2:2" ht="15.6">
      <c r="B64" s="350"/>
    </row>
    <row r="65" spans="2:2" ht="15.6">
      <c r="B65" s="350"/>
    </row>
    <row r="66" spans="2:2" ht="15.6">
      <c r="B66" s="350"/>
    </row>
    <row r="67" spans="2:2" ht="15.6">
      <c r="B67" s="350"/>
    </row>
    <row r="68" spans="2:2" ht="15.6">
      <c r="B68" s="350"/>
    </row>
    <row r="69" spans="2:2" ht="15.6">
      <c r="B69" s="350"/>
    </row>
    <row r="70" spans="2:2" ht="15.6">
      <c r="B70" s="35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MYP</vt:lpstr>
      <vt:lpstr>Dashboard</vt:lpstr>
      <vt:lpstr>Purpose</vt:lpstr>
      <vt:lpstr>Dashboard!Print_Area</vt:lpstr>
      <vt:lpstr>MYP!Print_Area</vt:lpstr>
      <vt:lpstr>MYP!Print_Titles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Nancy</dc:creator>
  <cp:lastModifiedBy>Lane, Nancy</cp:lastModifiedBy>
  <cp:lastPrinted>2023-01-13T01:22:33Z</cp:lastPrinted>
  <dcterms:created xsi:type="dcterms:W3CDTF">2022-10-25T03:12:13Z</dcterms:created>
  <dcterms:modified xsi:type="dcterms:W3CDTF">2023-03-20T21:19:14Z</dcterms:modified>
</cp:coreProperties>
</file>